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t\Documents\- VÄMLINGE SSF\ÅRSMÖTE\"/>
    </mc:Choice>
  </mc:AlternateContent>
  <bookViews>
    <workbookView xWindow="0" yWindow="0" windowWidth="28800" windowHeight="12435" firstSheet="15" activeTab="20"/>
  </bookViews>
  <sheets>
    <sheet name="Budget_Utf 2014-15" sheetId="18" r:id="rId1"/>
    <sheet name="Bokföring" sheetId="19" r:id="rId2"/>
    <sheet name="Ers Stig 1-13" sheetId="14" state="hidden" r:id="rId3"/>
    <sheet name="Ers Stig 2-13" sheetId="29" state="hidden" r:id="rId4"/>
    <sheet name="Ers Stig 3-13" sheetId="30" state="hidden" r:id="rId5"/>
    <sheet name="Ers Stig 1-14" sheetId="31" r:id="rId6"/>
    <sheet name="Ers Stig 2-14" sheetId="33" r:id="rId7"/>
    <sheet name="Ers Stig 3-14" sheetId="38" r:id="rId8"/>
    <sheet name="Ers Stig 4-14" sheetId="39" r:id="rId9"/>
    <sheet name="Ers Stig 1-15" sheetId="42" r:id="rId10"/>
    <sheet name="Ers Björn 1-14" sheetId="35" r:id="rId11"/>
    <sheet name="Ers Björn 2-14" sheetId="36" r:id="rId12"/>
    <sheet name="Skatter 2014-2015" sheetId="28" r:id="rId13"/>
    <sheet name="Skatter 2015" sheetId="43" r:id="rId14"/>
    <sheet name="Pivot-medlemsavg" sheetId="8" r:id="rId15"/>
    <sheet name="Medlemsavgifter" sheetId="7" r:id="rId16"/>
    <sheet name="Arvoden 2012" sheetId="6" r:id="rId17"/>
    <sheet name="Arvoden2013" sheetId="26" r:id="rId18"/>
    <sheet name="Arvoden2014" sheetId="32" r:id="rId19"/>
    <sheet name="Arvoden2015" sheetId="37" r:id="rId20"/>
    <sheet name="Arvoden2015-alt" sheetId="40" r:id="rId21"/>
    <sheet name="midsommar2011" sheetId="9" r:id="rId22"/>
    <sheet name="midsommar2012" sheetId="21" r:id="rId23"/>
    <sheet name="midsommar2013" sheetId="27" r:id="rId24"/>
    <sheet name="midsommar 2014" sheetId="34" r:id="rId25"/>
    <sheet name="Skattekonto" sheetId="25" r:id="rId26"/>
  </sheets>
  <externalReferences>
    <externalReference r:id="rId27"/>
  </externalReferences>
  <definedNames>
    <definedName name="_xlnm._FilterDatabase" localSheetId="15" hidden="1">Medlemsavgifter!$A$6:$J$124</definedName>
    <definedName name="_xlnm.Print_Area" localSheetId="16">'Arvoden 2012'!$B$2:$K$28</definedName>
    <definedName name="_xlnm.Print_Area" localSheetId="0">'Budget_Utf 2014-15'!$A$1:$G$107</definedName>
    <definedName name="_xlnm.Print_Titles" localSheetId="1">Bokföring!$5:$6</definedName>
    <definedName name="_xlnm.Print_Titles" localSheetId="15">Medlemsavgifter!$6:$6</definedName>
  </definedNames>
  <calcPr calcId="152511"/>
  <pivotCaches>
    <pivotCache cacheId="0" r:id="rId28"/>
  </pivotCaches>
</workbook>
</file>

<file path=xl/calcChain.xml><?xml version="1.0" encoding="utf-8"?>
<calcChain xmlns="http://schemas.openxmlformats.org/spreadsheetml/2006/main">
  <c r="G108" i="19" l="1"/>
  <c r="F51" i="18" l="1"/>
  <c r="F53" i="18" l="1"/>
  <c r="F58" i="18" s="1"/>
  <c r="I16" i="37" l="1"/>
  <c r="X94" i="19" l="1"/>
  <c r="B47" i="18"/>
  <c r="D66" i="43"/>
  <c r="B48" i="43"/>
  <c r="A48" i="43"/>
  <c r="F47" i="43"/>
  <c r="G47" i="43" s="1"/>
  <c r="E47" i="43"/>
  <c r="F46" i="43"/>
  <c r="E46" i="43"/>
  <c r="C46" i="43"/>
  <c r="C45" i="43"/>
  <c r="E45" i="43" s="1"/>
  <c r="C44" i="43"/>
  <c r="G34" i="43"/>
  <c r="C10" i="43"/>
  <c r="F10" i="43" s="1"/>
  <c r="C9" i="43"/>
  <c r="F8" i="43"/>
  <c r="C8" i="43"/>
  <c r="E8" i="43" s="1"/>
  <c r="B11" i="42"/>
  <c r="B12" i="42" s="1"/>
  <c r="B18" i="42" s="1"/>
  <c r="B10" i="42"/>
  <c r="E9" i="43" l="1"/>
  <c r="F9" i="43"/>
  <c r="G9" i="43" s="1"/>
  <c r="F45" i="43"/>
  <c r="G46" i="43"/>
  <c r="G10" i="43"/>
  <c r="E44" i="43"/>
  <c r="G45" i="43"/>
  <c r="G8" i="43"/>
  <c r="E10" i="43"/>
  <c r="F44" i="43"/>
  <c r="G44" i="43" l="1"/>
  <c r="B28" i="18"/>
  <c r="N30" i="40"/>
  <c r="M30" i="40"/>
  <c r="N29" i="40"/>
  <c r="M29" i="40"/>
  <c r="I23" i="40"/>
  <c r="J23" i="40" s="1"/>
  <c r="C22" i="40"/>
  <c r="O17" i="40"/>
  <c r="N17" i="40"/>
  <c r="M17" i="40"/>
  <c r="L17" i="40"/>
  <c r="J17" i="40"/>
  <c r="C17" i="40"/>
  <c r="P16" i="40"/>
  <c r="I16" i="40"/>
  <c r="G16" i="40"/>
  <c r="E16" i="40"/>
  <c r="P15" i="40"/>
  <c r="H15" i="40"/>
  <c r="I15" i="40" s="1"/>
  <c r="G15" i="40"/>
  <c r="E15" i="40"/>
  <c r="P14" i="40"/>
  <c r="H14" i="40"/>
  <c r="I14" i="40" s="1"/>
  <c r="G14" i="40"/>
  <c r="E14" i="40"/>
  <c r="P13" i="40"/>
  <c r="H13" i="40" s="1"/>
  <c r="I13" i="40" s="1"/>
  <c r="G13" i="40"/>
  <c r="E13" i="40"/>
  <c r="P12" i="40"/>
  <c r="H12" i="40" s="1"/>
  <c r="I12" i="40" s="1"/>
  <c r="G12" i="40"/>
  <c r="E12" i="40"/>
  <c r="P11" i="40"/>
  <c r="H11" i="40" s="1"/>
  <c r="I11" i="40" s="1"/>
  <c r="G11" i="40"/>
  <c r="E11" i="40"/>
  <c r="P10" i="40"/>
  <c r="H10" i="40" s="1"/>
  <c r="I10" i="40" s="1"/>
  <c r="G10" i="40"/>
  <c r="E10" i="40"/>
  <c r="P9" i="40"/>
  <c r="H9" i="40"/>
  <c r="I9" i="40" s="1"/>
  <c r="G9" i="40"/>
  <c r="D9" i="40"/>
  <c r="E9" i="40" s="1"/>
  <c r="P8" i="40"/>
  <c r="H8" i="40" s="1"/>
  <c r="I8" i="40" s="1"/>
  <c r="G8" i="40"/>
  <c r="D8" i="40"/>
  <c r="E8" i="40" s="1"/>
  <c r="P7" i="40"/>
  <c r="H7" i="40"/>
  <c r="I7" i="40" s="1"/>
  <c r="G7" i="40"/>
  <c r="G17" i="40" s="1"/>
  <c r="C26" i="40" s="1"/>
  <c r="E7" i="40"/>
  <c r="D7" i="40"/>
  <c r="I17" i="40" l="1"/>
  <c r="D17" i="40"/>
  <c r="E22" i="40"/>
  <c r="K8" i="40"/>
  <c r="K14" i="40"/>
  <c r="K16" i="40"/>
  <c r="K9" i="40"/>
  <c r="K15" i="40"/>
  <c r="K13" i="40"/>
  <c r="K12" i="40"/>
  <c r="K11" i="40"/>
  <c r="H17" i="40"/>
  <c r="C25" i="40" s="1"/>
  <c r="C27" i="40" s="1"/>
  <c r="K10" i="40"/>
  <c r="P17" i="40"/>
  <c r="C24" i="40"/>
  <c r="C28" i="40" s="1"/>
  <c r="K22" i="40"/>
  <c r="K25" i="40" s="1"/>
  <c r="K23" i="40"/>
  <c r="I25" i="40"/>
  <c r="K7" i="40"/>
  <c r="E17" i="40"/>
  <c r="K20" i="40" s="1"/>
  <c r="P21" i="40"/>
  <c r="P23" i="40" l="1"/>
  <c r="K21" i="40"/>
  <c r="O20" i="40"/>
  <c r="P22" i="40" s="1"/>
  <c r="K17" i="40"/>
  <c r="N30" i="37" l="1"/>
  <c r="M30" i="37"/>
  <c r="N29" i="37"/>
  <c r="M29" i="37"/>
  <c r="B39" i="18" l="1"/>
  <c r="B38" i="18"/>
  <c r="G109" i="19" l="1"/>
  <c r="G111" i="19" s="1"/>
  <c r="D66" i="28" l="1"/>
  <c r="B32" i="18" l="1"/>
  <c r="F73" i="18" l="1"/>
  <c r="C60" i="28" l="1"/>
  <c r="E60" i="28" s="1"/>
  <c r="B10" i="39"/>
  <c r="B15" i="39"/>
  <c r="B16" i="39" s="1"/>
  <c r="B11" i="39" l="1"/>
  <c r="C60" i="43"/>
  <c r="X66" i="19"/>
  <c r="Z66" i="19"/>
  <c r="B34" i="18" s="1"/>
  <c r="E60" i="43" l="1"/>
  <c r="G60" i="43"/>
  <c r="B12" i="39"/>
  <c r="B18" i="39" s="1"/>
  <c r="F60" i="43"/>
  <c r="F60" i="28"/>
  <c r="X106" i="19"/>
  <c r="I26" i="40" s="1"/>
  <c r="G60" i="28"/>
  <c r="B10" i="38"/>
  <c r="C59" i="43" s="1"/>
  <c r="B15" i="38"/>
  <c r="B16" i="38" s="1"/>
  <c r="I23" i="37"/>
  <c r="K23" i="37" s="1"/>
  <c r="C22" i="37"/>
  <c r="O17" i="37"/>
  <c r="N17" i="37"/>
  <c r="M17" i="37"/>
  <c r="L17" i="37"/>
  <c r="J17" i="37"/>
  <c r="C17" i="37"/>
  <c r="P16" i="37"/>
  <c r="G16" i="37"/>
  <c r="E16" i="37"/>
  <c r="K16" i="37" s="1"/>
  <c r="P15" i="37"/>
  <c r="H15" i="37" s="1"/>
  <c r="I15" i="37" s="1"/>
  <c r="G15" i="37"/>
  <c r="E15" i="37"/>
  <c r="P14" i="37"/>
  <c r="H14" i="37" s="1"/>
  <c r="I14" i="37" s="1"/>
  <c r="G14" i="37"/>
  <c r="E14" i="37"/>
  <c r="P13" i="37"/>
  <c r="H13" i="37" s="1"/>
  <c r="I13" i="37" s="1"/>
  <c r="G13" i="37"/>
  <c r="E13" i="37"/>
  <c r="P12" i="37"/>
  <c r="H12" i="37" s="1"/>
  <c r="I12" i="37" s="1"/>
  <c r="G12" i="37"/>
  <c r="E12" i="37"/>
  <c r="P11" i="37"/>
  <c r="H11" i="37" s="1"/>
  <c r="I11" i="37" s="1"/>
  <c r="G11" i="37"/>
  <c r="E11" i="37"/>
  <c r="P10" i="37"/>
  <c r="H10" i="37" s="1"/>
  <c r="I10" i="37" s="1"/>
  <c r="G10" i="37"/>
  <c r="E10" i="37"/>
  <c r="P9" i="37"/>
  <c r="H9" i="37" s="1"/>
  <c r="I9" i="37" s="1"/>
  <c r="G9" i="37"/>
  <c r="D9" i="37"/>
  <c r="E9" i="37" s="1"/>
  <c r="P8" i="37"/>
  <c r="H8" i="37" s="1"/>
  <c r="I8" i="37" s="1"/>
  <c r="G8" i="37"/>
  <c r="D8" i="37"/>
  <c r="E8" i="37" s="1"/>
  <c r="P7" i="37"/>
  <c r="H7" i="37" s="1"/>
  <c r="I7" i="37" s="1"/>
  <c r="G7" i="37"/>
  <c r="D7" i="37"/>
  <c r="E7" i="37" s="1"/>
  <c r="E59" i="43" l="1"/>
  <c r="E62" i="43" s="1"/>
  <c r="C62" i="43"/>
  <c r="B11" i="38"/>
  <c r="C59" i="28"/>
  <c r="C62" i="28" s="1"/>
  <c r="G17" i="37"/>
  <c r="C26" i="37" s="1"/>
  <c r="K8" i="37"/>
  <c r="K14" i="37"/>
  <c r="H17" i="37"/>
  <c r="I17" i="37" s="1"/>
  <c r="C25" i="37" s="1"/>
  <c r="K11" i="37"/>
  <c r="K10" i="37"/>
  <c r="P17" i="37"/>
  <c r="K9" i="37"/>
  <c r="K12" i="37"/>
  <c r="K15" i="37"/>
  <c r="K13" i="37"/>
  <c r="K21" i="37"/>
  <c r="P21" i="37"/>
  <c r="E17" i="37"/>
  <c r="K20" i="37" s="1"/>
  <c r="K7" i="37"/>
  <c r="E22" i="37"/>
  <c r="D17" i="37"/>
  <c r="J23" i="37"/>
  <c r="I25" i="37" s="1"/>
  <c r="I24" i="7"/>
  <c r="B42" i="18"/>
  <c r="E59" i="28" l="1"/>
  <c r="E62" i="28" s="1"/>
  <c r="B12" i="38"/>
  <c r="B18" i="38" s="1"/>
  <c r="F59" i="43"/>
  <c r="F59" i="28"/>
  <c r="P23" i="37"/>
  <c r="B100" i="18"/>
  <c r="C27" i="37"/>
  <c r="C24" i="37"/>
  <c r="C28" i="37" s="1"/>
  <c r="K22" i="37"/>
  <c r="K25" i="37" s="1"/>
  <c r="O20" i="37"/>
  <c r="P22" i="37" s="1"/>
  <c r="K17" i="37"/>
  <c r="G59" i="28" l="1"/>
  <c r="G62" i="28" s="1"/>
  <c r="F62" i="28"/>
  <c r="E54" i="28" s="1"/>
  <c r="F62" i="43"/>
  <c r="E54" i="43" s="1"/>
  <c r="G59" i="43"/>
  <c r="G62" i="43" s="1"/>
  <c r="B48" i="28" l="1"/>
  <c r="A48" i="28"/>
  <c r="B16" i="36"/>
  <c r="B10" i="36"/>
  <c r="B11" i="36"/>
  <c r="B12" i="36" l="1"/>
  <c r="B18" i="36" s="1"/>
  <c r="B11" i="35"/>
  <c r="B16" i="35"/>
  <c r="B10" i="35"/>
  <c r="F48" i="43" l="1"/>
  <c r="F51" i="43" s="1"/>
  <c r="F48" i="28"/>
  <c r="C48" i="43"/>
  <c r="C48" i="28"/>
  <c r="B12" i="35"/>
  <c r="B18" i="35" s="1"/>
  <c r="D67" i="18"/>
  <c r="D62" i="18"/>
  <c r="G48" i="28" l="1"/>
  <c r="E48" i="28"/>
  <c r="E48" i="43"/>
  <c r="E51" i="43" s="1"/>
  <c r="E39" i="43" s="1"/>
  <c r="C52" i="43"/>
  <c r="C51" i="43"/>
  <c r="G48" i="43"/>
  <c r="G51" i="43" s="1"/>
  <c r="D70" i="18"/>
  <c r="B60" i="18" s="1"/>
  <c r="D27" i="34"/>
  <c r="C25" i="34"/>
  <c r="D17" i="34"/>
  <c r="C29" i="34"/>
  <c r="D22" i="34"/>
  <c r="D18" i="34"/>
  <c r="E27" i="34"/>
  <c r="D20" i="34"/>
  <c r="D21" i="34"/>
  <c r="D19" i="34"/>
  <c r="E12" i="34"/>
  <c r="C60" i="18" l="1"/>
  <c r="C70" i="18" s="1"/>
  <c r="D25" i="34"/>
  <c r="D29" i="34" s="1"/>
  <c r="F47" i="28"/>
  <c r="G47" i="28" s="1"/>
  <c r="E47" i="28"/>
  <c r="B10" i="33"/>
  <c r="B15" i="33"/>
  <c r="B16" i="33" s="1"/>
  <c r="AH23" i="19"/>
  <c r="G23" i="19"/>
  <c r="G4" i="19"/>
  <c r="E25" i="34" l="1"/>
  <c r="E29" i="34" s="1"/>
  <c r="B11" i="33"/>
  <c r="B12" i="33" s="1"/>
  <c r="B18" i="33" s="1"/>
  <c r="AF23" i="19"/>
  <c r="C45" i="28"/>
  <c r="F45" i="28" s="1"/>
  <c r="C46" i="28"/>
  <c r="C44" i="28"/>
  <c r="C52" i="28" s="1"/>
  <c r="B41" i="18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7" i="7"/>
  <c r="E44" i="28" l="1"/>
  <c r="E31" i="34"/>
  <c r="F29" i="34"/>
  <c r="B99" i="18"/>
  <c r="E45" i="28"/>
  <c r="F44" i="28"/>
  <c r="G44" i="28" s="1"/>
  <c r="C51" i="28"/>
  <c r="G45" i="28"/>
  <c r="E46" i="28"/>
  <c r="F46" i="28"/>
  <c r="G46" i="28" s="1"/>
  <c r="F51" i="28" l="1"/>
  <c r="E51" i="28"/>
  <c r="G51" i="28"/>
  <c r="E39" i="28" l="1"/>
  <c r="G13" i="19"/>
  <c r="D51" i="18"/>
  <c r="C34" i="18" l="1"/>
  <c r="C31" i="18" s="1"/>
  <c r="C19" i="18"/>
  <c r="C13" i="18"/>
  <c r="C20" i="18" l="1"/>
  <c r="C49" i="18"/>
  <c r="I23" i="32" l="1"/>
  <c r="I16" i="32"/>
  <c r="K23" i="32" l="1"/>
  <c r="J23" i="32"/>
  <c r="I25" i="32" s="1"/>
  <c r="C22" i="32"/>
  <c r="Q8" i="32"/>
  <c r="Q9" i="32"/>
  <c r="Q10" i="32"/>
  <c r="Q11" i="32"/>
  <c r="Q12" i="32"/>
  <c r="Q13" i="32"/>
  <c r="Q14" i="32"/>
  <c r="Q15" i="32"/>
  <c r="Q16" i="32"/>
  <c r="Q7" i="32"/>
  <c r="M17" i="32"/>
  <c r="N17" i="32"/>
  <c r="O17" i="32"/>
  <c r="P17" i="32"/>
  <c r="L17" i="32"/>
  <c r="Q17" i="32" l="1"/>
  <c r="C55" i="18" l="1"/>
  <c r="D55" i="18"/>
  <c r="I26" i="32" l="1"/>
  <c r="I26" i="37"/>
  <c r="J17" i="32"/>
  <c r="H17" i="32"/>
  <c r="I17" i="32" s="1"/>
  <c r="C17" i="32"/>
  <c r="G16" i="32"/>
  <c r="E16" i="32"/>
  <c r="I15" i="32"/>
  <c r="G15" i="32"/>
  <c r="E15" i="32"/>
  <c r="I14" i="32"/>
  <c r="G14" i="32"/>
  <c r="E14" i="32"/>
  <c r="I13" i="32"/>
  <c r="G13" i="32"/>
  <c r="E13" i="32"/>
  <c r="I12" i="32"/>
  <c r="G12" i="32"/>
  <c r="E12" i="32"/>
  <c r="I11" i="32"/>
  <c r="G11" i="32"/>
  <c r="E11" i="32"/>
  <c r="I10" i="32"/>
  <c r="G10" i="32"/>
  <c r="E10" i="32"/>
  <c r="I9" i="32"/>
  <c r="G9" i="32"/>
  <c r="D9" i="32"/>
  <c r="E9" i="32" s="1"/>
  <c r="I8" i="32"/>
  <c r="G8" i="32"/>
  <c r="D8" i="32"/>
  <c r="E8" i="32" s="1"/>
  <c r="I7" i="32"/>
  <c r="G7" i="32"/>
  <c r="G17" i="32" s="1"/>
  <c r="C26" i="32" s="1"/>
  <c r="D7" i="32"/>
  <c r="D17" i="32" s="1"/>
  <c r="K21" i="32" l="1"/>
  <c r="K22" i="32"/>
  <c r="K25" i="32" s="1"/>
  <c r="E7" i="32"/>
  <c r="K8" i="32"/>
  <c r="K9" i="32"/>
  <c r="K12" i="32"/>
  <c r="K15" i="32"/>
  <c r="K16" i="32"/>
  <c r="C25" i="32"/>
  <c r="K14" i="32"/>
  <c r="K13" i="32"/>
  <c r="K11" i="32"/>
  <c r="K10" i="32"/>
  <c r="P23" i="32" s="1"/>
  <c r="C24" i="32"/>
  <c r="C28" i="32" s="1"/>
  <c r="E17" i="32"/>
  <c r="K20" i="32" s="1"/>
  <c r="E22" i="32" l="1"/>
  <c r="C27" i="32" s="1"/>
  <c r="P21" i="32"/>
  <c r="K7" i="32"/>
  <c r="O20" i="32" s="1"/>
  <c r="P22" i="32" s="1"/>
  <c r="K17" i="32" l="1"/>
  <c r="B97" i="18"/>
  <c r="G34" i="28" l="1"/>
  <c r="B10" i="31"/>
  <c r="C33" i="43" s="1"/>
  <c r="B15" i="31"/>
  <c r="B16" i="31" s="1"/>
  <c r="C36" i="43" l="1"/>
  <c r="E33" i="43"/>
  <c r="C33" i="28"/>
  <c r="E33" i="28" s="1"/>
  <c r="C36" i="28"/>
  <c r="B11" i="31"/>
  <c r="B18" i="18"/>
  <c r="E36" i="43" l="1"/>
  <c r="C64" i="28"/>
  <c r="C66" i="28"/>
  <c r="B12" i="31"/>
  <c r="B18" i="31" s="1"/>
  <c r="F33" i="43"/>
  <c r="F33" i="28"/>
  <c r="C64" i="43"/>
  <c r="C66" i="43"/>
  <c r="E36" i="28"/>
  <c r="E64" i="43" l="1"/>
  <c r="E66" i="43"/>
  <c r="E66" i="28"/>
  <c r="E64" i="28"/>
  <c r="F36" i="28"/>
  <c r="G33" i="28"/>
  <c r="G36" i="28" s="1"/>
  <c r="E28" i="28"/>
  <c r="F36" i="43"/>
  <c r="G33" i="43"/>
  <c r="G36" i="43" s="1"/>
  <c r="E28" i="43"/>
  <c r="B10" i="30"/>
  <c r="C22" i="43" s="1"/>
  <c r="B15" i="30"/>
  <c r="B16" i="30" s="1"/>
  <c r="F66" i="28" l="1"/>
  <c r="F64" i="28"/>
  <c r="B11" i="30"/>
  <c r="C22" i="28"/>
  <c r="E22" i="28" s="1"/>
  <c r="F64" i="43"/>
  <c r="F66" i="43"/>
  <c r="E22" i="43"/>
  <c r="F25" i="8"/>
  <c r="F26" i="8"/>
  <c r="F27" i="8"/>
  <c r="F28" i="8"/>
  <c r="D21" i="8"/>
  <c r="B12" i="30" l="1"/>
  <c r="B18" i="30" s="1"/>
  <c r="F22" i="43"/>
  <c r="G22" i="43" s="1"/>
  <c r="F22" i="28"/>
  <c r="E17" i="28" s="1"/>
  <c r="B10" i="29"/>
  <c r="C21" i="43" s="1"/>
  <c r="E17" i="43" l="1"/>
  <c r="E21" i="43"/>
  <c r="C24" i="43"/>
  <c r="C21" i="28"/>
  <c r="E21" i="28" s="1"/>
  <c r="B11" i="29"/>
  <c r="E16" i="28" l="1"/>
  <c r="B12" i="29"/>
  <c r="B15" i="29" s="1"/>
  <c r="F21" i="43"/>
  <c r="F21" i="28"/>
  <c r="E24" i="43"/>
  <c r="E10" i="27"/>
  <c r="E32" i="27"/>
  <c r="F24" i="43" l="1"/>
  <c r="G21" i="43"/>
  <c r="G24" i="43" s="1"/>
  <c r="E16" i="43"/>
  <c r="C9" i="28"/>
  <c r="F9" i="28" s="1"/>
  <c r="G9" i="28" s="1"/>
  <c r="C10" i="28"/>
  <c r="F10" i="28" s="1"/>
  <c r="G10" i="28" s="1"/>
  <c r="C8" i="28"/>
  <c r="E8" i="28" s="1"/>
  <c r="F24" i="28"/>
  <c r="C24" i="28"/>
  <c r="E10" i="28" l="1"/>
  <c r="E24" i="28"/>
  <c r="F8" i="28"/>
  <c r="E9" i="28"/>
  <c r="G21" i="28"/>
  <c r="G22" i="28"/>
  <c r="G8" i="28" l="1"/>
  <c r="G24" i="28"/>
  <c r="E30" i="27" l="1"/>
  <c r="E26" i="27"/>
  <c r="D19" i="27"/>
  <c r="D23" i="27"/>
  <c r="C28" i="27"/>
  <c r="D28" i="27"/>
  <c r="D20" i="27"/>
  <c r="D17" i="27" s="1"/>
  <c r="D15" i="27"/>
  <c r="E15" i="27" s="1"/>
  <c r="E8" i="27"/>
  <c r="E12" i="27" s="1"/>
  <c r="E28" i="27" l="1"/>
  <c r="C24" i="27"/>
  <c r="C34" i="27" s="1"/>
  <c r="D24" i="27"/>
  <c r="D34" i="27" s="1"/>
  <c r="B10" i="14"/>
  <c r="E34" i="27" l="1"/>
  <c r="E36" i="27" s="1"/>
  <c r="C7" i="43"/>
  <c r="C7" i="28"/>
  <c r="E24" i="27"/>
  <c r="E7" i="28" l="1"/>
  <c r="E13" i="28" s="1"/>
  <c r="C13" i="28"/>
  <c r="C13" i="43"/>
  <c r="E7" i="43"/>
  <c r="E13" i="43" s="1"/>
  <c r="C10" i="18"/>
  <c r="C51" i="18" s="1"/>
  <c r="I15" i="26" l="1"/>
  <c r="G15" i="26"/>
  <c r="E15" i="26"/>
  <c r="K15" i="26" l="1"/>
  <c r="C22" i="26"/>
  <c r="J17" i="26"/>
  <c r="H17" i="26"/>
  <c r="I17" i="26" s="1"/>
  <c r="C17" i="26"/>
  <c r="I16" i="26"/>
  <c r="G16" i="26"/>
  <c r="E16" i="26"/>
  <c r="K16" i="26" s="1"/>
  <c r="I14" i="26"/>
  <c r="G14" i="26"/>
  <c r="E14" i="26"/>
  <c r="I13" i="26"/>
  <c r="G13" i="26"/>
  <c r="E13" i="26"/>
  <c r="I12" i="26"/>
  <c r="G12" i="26"/>
  <c r="E12" i="26"/>
  <c r="I11" i="26"/>
  <c r="G11" i="26"/>
  <c r="E11" i="26"/>
  <c r="K11" i="26" s="1"/>
  <c r="I10" i="26"/>
  <c r="G10" i="26"/>
  <c r="E10" i="26"/>
  <c r="I9" i="26"/>
  <c r="G9" i="26"/>
  <c r="D9" i="26"/>
  <c r="E9" i="26" s="1"/>
  <c r="I8" i="26"/>
  <c r="G8" i="26"/>
  <c r="E8" i="26"/>
  <c r="D8" i="26"/>
  <c r="I7" i="26"/>
  <c r="G7" i="26"/>
  <c r="D7" i="26"/>
  <c r="K14" i="26" l="1"/>
  <c r="K9" i="26"/>
  <c r="K8" i="26"/>
  <c r="D17" i="26"/>
  <c r="C24" i="26" s="1"/>
  <c r="G17" i="26"/>
  <c r="C27" i="26" s="1"/>
  <c r="C29" i="26" s="1"/>
  <c r="K13" i="26"/>
  <c r="K12" i="26"/>
  <c r="K10" i="26"/>
  <c r="C25" i="26"/>
  <c r="E7" i="26"/>
  <c r="E22" i="26" s="1"/>
  <c r="C26" i="26" l="1"/>
  <c r="C28" i="26"/>
  <c r="E17" i="26"/>
  <c r="K7" i="26"/>
  <c r="K17" i="26" s="1"/>
  <c r="B70" i="18" l="1"/>
  <c r="D23" i="21" l="1"/>
  <c r="E28" i="21"/>
  <c r="E15" i="21"/>
  <c r="D26" i="21"/>
  <c r="D22" i="21"/>
  <c r="D21" i="21"/>
  <c r="D20" i="21"/>
  <c r="D19" i="21"/>
  <c r="D18" i="21"/>
  <c r="D17" i="21"/>
  <c r="D24" i="21" s="1"/>
  <c r="D30" i="21" s="1"/>
  <c r="E26" i="21"/>
  <c r="E10" i="21"/>
  <c r="E8" i="21"/>
  <c r="E12" i="21" s="1"/>
  <c r="C26" i="21" l="1"/>
  <c r="C24" i="21" s="1"/>
  <c r="C30" i="21" s="1"/>
  <c r="E24" i="21" l="1"/>
  <c r="E30" i="21"/>
  <c r="E32" i="21" s="1"/>
  <c r="F124" i="7" l="1"/>
  <c r="I124" i="7" l="1"/>
  <c r="E21" i="8" s="1"/>
  <c r="F21" i="8" s="1"/>
  <c r="AS105" i="19" l="1"/>
  <c r="AQ105" i="19"/>
  <c r="AP105" i="19"/>
  <c r="B40" i="18" s="1"/>
  <c r="AO105" i="19"/>
  <c r="AM105" i="19"/>
  <c r="AL105" i="19"/>
  <c r="AK105" i="19"/>
  <c r="AJ105" i="19"/>
  <c r="AI105" i="19"/>
  <c r="AH105" i="19"/>
  <c r="AG105" i="19"/>
  <c r="AE105" i="19"/>
  <c r="AD105" i="19"/>
  <c r="B37" i="18" s="1"/>
  <c r="AC105" i="19"/>
  <c r="AB105" i="19"/>
  <c r="B44" i="18" s="1"/>
  <c r="AA105" i="19"/>
  <c r="Z105" i="19"/>
  <c r="Y105" i="19"/>
  <c r="X105" i="19"/>
  <c r="W105" i="19"/>
  <c r="V105" i="19"/>
  <c r="B29" i="18" s="1"/>
  <c r="U105" i="19"/>
  <c r="T105" i="19"/>
  <c r="B27" i="18" s="1"/>
  <c r="S105" i="19"/>
  <c r="R105" i="19"/>
  <c r="Q105" i="19"/>
  <c r="P105" i="19"/>
  <c r="O105" i="19"/>
  <c r="B17" i="18" s="1"/>
  <c r="N105" i="19"/>
  <c r="M105" i="19"/>
  <c r="L105" i="19"/>
  <c r="K105" i="19"/>
  <c r="J105" i="19"/>
  <c r="I105" i="19"/>
  <c r="H105" i="19"/>
  <c r="F105" i="19"/>
  <c r="E105" i="19"/>
  <c r="D105" i="19"/>
  <c r="AU104" i="19"/>
  <c r="AT104" i="19"/>
  <c r="AR105" i="19"/>
  <c r="B46" i="18" s="1"/>
  <c r="G105" i="19"/>
  <c r="F117" i="18"/>
  <c r="C113" i="18"/>
  <c r="C112" i="18"/>
  <c r="F111" i="18"/>
  <c r="F112" i="18" s="1"/>
  <c r="C110" i="18"/>
  <c r="B110" i="18"/>
  <c r="B115" i="18" s="1"/>
  <c r="E106" i="18"/>
  <c r="E105" i="18"/>
  <c r="F104" i="18"/>
  <c r="E104" i="18"/>
  <c r="F103" i="18"/>
  <c r="E103" i="18"/>
  <c r="F102" i="18"/>
  <c r="E102" i="18"/>
  <c r="F101" i="18"/>
  <c r="E101" i="18"/>
  <c r="F100" i="18"/>
  <c r="E100" i="18"/>
  <c r="F99" i="18"/>
  <c r="E99" i="18"/>
  <c r="F98" i="18"/>
  <c r="E98" i="18"/>
  <c r="F97" i="18"/>
  <c r="E97" i="18"/>
  <c r="F96" i="18"/>
  <c r="E96" i="18"/>
  <c r="F95" i="18"/>
  <c r="E95" i="18"/>
  <c r="F94" i="18"/>
  <c r="E94" i="18"/>
  <c r="F93" i="18"/>
  <c r="E93" i="18"/>
  <c r="F92" i="18"/>
  <c r="E92" i="18"/>
  <c r="F91" i="18"/>
  <c r="E91" i="18"/>
  <c r="F90" i="18"/>
  <c r="E90" i="18"/>
  <c r="F89" i="18"/>
  <c r="E89" i="18"/>
  <c r="F88" i="18"/>
  <c r="E88" i="18"/>
  <c r="F87" i="18"/>
  <c r="E87" i="18"/>
  <c r="F84" i="18"/>
  <c r="E84" i="18"/>
  <c r="B84" i="18"/>
  <c r="F83" i="18"/>
  <c r="E83" i="18"/>
  <c r="F82" i="18"/>
  <c r="E82" i="18"/>
  <c r="F81" i="18"/>
  <c r="E81" i="18"/>
  <c r="F80" i="18"/>
  <c r="E80" i="18"/>
  <c r="F79" i="18"/>
  <c r="E79" i="18"/>
  <c r="F78" i="18"/>
  <c r="E78" i="18"/>
  <c r="B10" i="18"/>
  <c r="B45" i="18" l="1"/>
  <c r="B26" i="18"/>
  <c r="B13" i="18"/>
  <c r="B14" i="18"/>
  <c r="B24" i="18"/>
  <c r="B15" i="18"/>
  <c r="B31" i="18"/>
  <c r="B25" i="18"/>
  <c r="B36" i="18"/>
  <c r="X107" i="19"/>
  <c r="B30" i="18"/>
  <c r="B90" i="18"/>
  <c r="G106" i="19"/>
  <c r="B96" i="18"/>
  <c r="B81" i="18"/>
  <c r="B98" i="18"/>
  <c r="B83" i="18"/>
  <c r="F85" i="18"/>
  <c r="F107" i="18"/>
  <c r="B105" i="18"/>
  <c r="E107" i="18"/>
  <c r="H106" i="19"/>
  <c r="E85" i="18"/>
  <c r="AN105" i="19"/>
  <c r="B43" i="18" s="1"/>
  <c r="C115" i="18"/>
  <c r="AF105" i="19"/>
  <c r="B89" i="18" l="1"/>
  <c r="B103" i="18"/>
  <c r="G110" i="19"/>
  <c r="B87" i="18"/>
  <c r="B55" i="18"/>
  <c r="B79" i="18"/>
  <c r="B94" i="18"/>
  <c r="B92" i="18"/>
  <c r="B80" i="18"/>
  <c r="B20" i="18"/>
  <c r="B88" i="18"/>
  <c r="B35" i="18"/>
  <c r="B49" i="18" s="1"/>
  <c r="B91" i="18"/>
  <c r="B102" i="18"/>
  <c r="B82" i="18"/>
  <c r="B101" i="18"/>
  <c r="B95" i="18"/>
  <c r="B104" i="18"/>
  <c r="B78" i="18"/>
  <c r="B114" i="18"/>
  <c r="P106" i="19"/>
  <c r="H107" i="19" s="1"/>
  <c r="H109" i="19" s="1"/>
  <c r="H110" i="19" s="1"/>
  <c r="B93" i="18" l="1"/>
  <c r="B53" i="18"/>
  <c r="B51" i="18" s="1"/>
  <c r="B85" i="18"/>
  <c r="B113" i="18" s="1"/>
  <c r="J16" i="6"/>
  <c r="D9" i="6"/>
  <c r="D8" i="6"/>
  <c r="D7" i="6"/>
  <c r="E7" i="6" s="1"/>
  <c r="B11" i="14" l="1"/>
  <c r="B12" i="14" l="1"/>
  <c r="B15" i="14" s="1"/>
  <c r="F7" i="43"/>
  <c r="F7" i="28"/>
  <c r="F13" i="28" l="1"/>
  <c r="E2" i="28" s="1"/>
  <c r="G7" i="28"/>
  <c r="G13" i="28" s="1"/>
  <c r="F13" i="43"/>
  <c r="E2" i="43" s="1"/>
  <c r="G7" i="43"/>
  <c r="G13" i="43" s="1"/>
  <c r="F8" i="9"/>
  <c r="G19" i="9"/>
  <c r="I19" i="9" s="1"/>
  <c r="I13" i="9"/>
  <c r="F9" i="9"/>
  <c r="F13" i="9" s="1"/>
  <c r="C8" i="9"/>
  <c r="G8" i="9"/>
  <c r="E8" i="9"/>
  <c r="E13" i="9" s="1"/>
  <c r="D8" i="9"/>
  <c r="B8" i="9"/>
  <c r="B13" i="9" s="1"/>
  <c r="E9" i="9"/>
  <c r="D9" i="9"/>
  <c r="C9" i="9" s="1"/>
  <c r="J9" i="9" s="1"/>
  <c r="H9" i="9"/>
  <c r="H13" i="9" s="1"/>
  <c r="G9" i="9"/>
  <c r="G13" i="9" s="1"/>
  <c r="B28" i="9"/>
  <c r="B29" i="9" s="1"/>
  <c r="D13" i="9" l="1"/>
  <c r="C13" i="9"/>
  <c r="J8" i="9"/>
  <c r="J13" i="9" s="1"/>
  <c r="C21" i="6"/>
  <c r="H16" i="6"/>
  <c r="I16" i="6" s="1"/>
  <c r="C24" i="6" s="1"/>
  <c r="D16" i="6"/>
  <c r="C25" i="6" s="1"/>
  <c r="C16" i="6"/>
  <c r="I15" i="6"/>
  <c r="G15" i="6"/>
  <c r="E15" i="6"/>
  <c r="K15" i="6" s="1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K7" i="6" s="1"/>
  <c r="G7" i="6"/>
  <c r="K10" i="6" l="1"/>
  <c r="K14" i="6"/>
  <c r="K8" i="6"/>
  <c r="K9" i="6"/>
  <c r="K11" i="6"/>
  <c r="K12" i="6"/>
  <c r="K13" i="6"/>
  <c r="G16" i="6"/>
  <c r="C26" i="6" s="1"/>
  <c r="C28" i="6" s="1"/>
  <c r="E21" i="6"/>
  <c r="C27" i="6" s="1"/>
  <c r="J19" i="9"/>
  <c r="J20" i="9" s="1"/>
  <c r="E16" i="6"/>
  <c r="C23" i="6"/>
  <c r="K16" i="6" l="1"/>
  <c r="B106" i="18"/>
  <c r="B107" i="18" s="1"/>
</calcChain>
</file>

<file path=xl/comments1.xml><?xml version="1.0" encoding="utf-8"?>
<comments xmlns="http://schemas.openxmlformats.org/spreadsheetml/2006/main">
  <authors>
    <author>Kajsa</author>
  </authors>
  <commentList>
    <comment ref="J49" authorId="0" shapeId="0">
      <text>
        <r>
          <rPr>
            <b/>
            <sz val="9"/>
            <color indexed="81"/>
            <rFont val="Tahoma"/>
            <family val="2"/>
          </rPr>
          <t>Kajsa:</t>
        </r>
        <r>
          <rPr>
            <sz val="9"/>
            <color indexed="81"/>
            <rFont val="Tahoma"/>
            <family val="2"/>
          </rPr>
          <t xml:space="preserve">
Tidigare Malin, Kents dotter</t>
        </r>
      </text>
    </comment>
  </commentList>
</comments>
</file>

<file path=xl/sharedStrings.xml><?xml version="1.0" encoding="utf-8"?>
<sst xmlns="http://schemas.openxmlformats.org/spreadsheetml/2006/main" count="1570" uniqueCount="748">
  <si>
    <t>INTÄKTER</t>
  </si>
  <si>
    <t>Medlemsavgifter</t>
  </si>
  <si>
    <t>SUMMA</t>
  </si>
  <si>
    <t>KOSTNADER</t>
  </si>
  <si>
    <t>Vägsamfällighet Stj/Väm</t>
  </si>
  <si>
    <t>Städdagskostn</t>
  </si>
  <si>
    <t>Vägunderhåll Barmark</t>
  </si>
  <si>
    <t>Vägunderhåll Vinter</t>
  </si>
  <si>
    <t>Grönområdesunderhåll</t>
  </si>
  <si>
    <t>Reseersättning</t>
  </si>
  <si>
    <t>Skatt o arbetsgivaravgift</t>
  </si>
  <si>
    <t xml:space="preserve">Bygdegård, hyra, avg.fört.  </t>
  </si>
  <si>
    <t>PG- avgifter</t>
  </si>
  <si>
    <t>Hemsida o dataprogram</t>
  </si>
  <si>
    <t xml:space="preserve">Kontorsmatr.porto etc    </t>
  </si>
  <si>
    <t>Inköp - rep etc</t>
  </si>
  <si>
    <t>Årets överskott</t>
  </si>
  <si>
    <t>KASSABOK Vämlinge Södra Samfällighetsförening</t>
  </si>
  <si>
    <t>Datum</t>
  </si>
  <si>
    <t>Text</t>
  </si>
  <si>
    <t>Ver nr</t>
  </si>
  <si>
    <t>Debet</t>
  </si>
  <si>
    <t>Kredit</t>
  </si>
  <si>
    <t>Postgiro</t>
  </si>
  <si>
    <t>Driftsbidrag TV</t>
  </si>
  <si>
    <t>KASSA &amp; BANK</t>
  </si>
  <si>
    <t>Övriga intäkter</t>
  </si>
  <si>
    <t>Övriga kostnader</t>
  </si>
  <si>
    <t>INGÅENDE BALANS</t>
  </si>
  <si>
    <t>Underhåll SP</t>
  </si>
  <si>
    <t>Check</t>
  </si>
  <si>
    <t>Handkassa</t>
  </si>
  <si>
    <t>Årsmöte</t>
  </si>
  <si>
    <t>Bankavgifter</t>
  </si>
  <si>
    <t>Styrelsemöten</t>
  </si>
  <si>
    <t>Summa</t>
  </si>
  <si>
    <t>Inköp/rep mm</t>
  </si>
  <si>
    <t>Arvoden</t>
  </si>
  <si>
    <t>Kontorsmtrl, porto</t>
  </si>
  <si>
    <t xml:space="preserve">Namn: </t>
  </si>
  <si>
    <t>Stig Persson</t>
  </si>
  <si>
    <t>Pnr:</t>
  </si>
  <si>
    <t>Lön</t>
  </si>
  <si>
    <t>Prel skatt</t>
  </si>
  <si>
    <t>Utbetalt</t>
  </si>
  <si>
    <t>Kajsa Björkman</t>
  </si>
  <si>
    <t>Kassör Samfällighetsföreningen</t>
  </si>
  <si>
    <t>Samfällighetsföreningen Vämlinge Södra</t>
  </si>
  <si>
    <t>Ers avser period:</t>
  </si>
  <si>
    <t>Namn</t>
  </si>
  <si>
    <t>Ag avg</t>
  </si>
  <si>
    <t>Netto utbetalt</t>
  </si>
  <si>
    <t>Arb g avg % av bruttolön</t>
  </si>
  <si>
    <t>Bruttolön/Arvode</t>
  </si>
  <si>
    <t>Utbetalt:</t>
  </si>
  <si>
    <t>VÄMLINGE SÖDRA SAMFÄLLIGHETSFÖRENING</t>
  </si>
  <si>
    <t>Organisationsnr 716418-2862</t>
  </si>
  <si>
    <t xml:space="preserve">INGÅENDE BALANS 1 MAJ </t>
  </si>
  <si>
    <t>Driftsbidrag Trafikverket</t>
  </si>
  <si>
    <t>Från midsommarkontot</t>
  </si>
  <si>
    <t>Dikesröjning</t>
  </si>
  <si>
    <t>Försäkr.ers</t>
  </si>
  <si>
    <t>Årets underskott</t>
  </si>
  <si>
    <t>Arvoden, styrelse o revision</t>
  </si>
  <si>
    <t>_________________________________________________________________</t>
  </si>
  <si>
    <t>____________________________</t>
  </si>
  <si>
    <t>__________________</t>
  </si>
  <si>
    <t>BEHÅLLNING MIDSOMMARKONTO</t>
  </si>
  <si>
    <t>Tidigare års behållning </t>
  </si>
  <si>
    <t>Ränta</t>
  </si>
  <si>
    <t>Överskott Midsommarfest</t>
  </si>
  <si>
    <t>Överskott Bingon                    </t>
  </si>
  <si>
    <t>Saldo Midsommarkonto  </t>
  </si>
  <si>
    <t>SPECIFIKATION PÅ INTÄKTS- o KOSTNADSKONTON</t>
  </si>
  <si>
    <t>INTÄKTSKONTON</t>
  </si>
  <si>
    <t>SPECIFIKATION till utfall</t>
  </si>
  <si>
    <t>Påminnelseavgifter</t>
  </si>
  <si>
    <t>Kostnadskonton</t>
  </si>
  <si>
    <t>Väm SFF</t>
  </si>
  <si>
    <t>Midsom</t>
  </si>
  <si>
    <t>Beskrivn.</t>
  </si>
  <si>
    <t>Ing Kassabehållning</t>
  </si>
  <si>
    <t>Intäkt Midsom.</t>
  </si>
  <si>
    <t>Inkomster</t>
  </si>
  <si>
    <t>Intäkt Bingo</t>
  </si>
  <si>
    <t>Utgifter</t>
  </si>
  <si>
    <t xml:space="preserve"> Flyttat till SFF</t>
  </si>
  <si>
    <t>Utgående kassabehållning</t>
  </si>
  <si>
    <t>Helt år</t>
  </si>
  <si>
    <t>Års-styrelsemöten</t>
  </si>
  <si>
    <t xml:space="preserve">Uppvaktning/avtackning                         </t>
  </si>
  <si>
    <t>ARVODE Brutto</t>
  </si>
  <si>
    <t>Skatt 35 %</t>
  </si>
  <si>
    <t>Arvode netto efter skatt</t>
  </si>
  <si>
    <r>
      <t xml:space="preserve">Arbetsgivaravgift          </t>
    </r>
    <r>
      <rPr>
        <i/>
        <sz val="10"/>
        <color theme="1"/>
        <rFont val="Arial"/>
        <family val="2"/>
      </rPr>
      <t xml:space="preserve"> född före 1945 10,21 %, senare än 1945, 29,71%</t>
    </r>
  </si>
  <si>
    <t xml:space="preserve"> Rese- ersättning 200:-/möte       KRONOR</t>
  </si>
  <si>
    <r>
      <rPr>
        <b/>
        <i/>
        <sz val="10"/>
        <color theme="1"/>
        <rFont val="Arial"/>
        <family val="2"/>
      </rPr>
      <t>Utbetalning</t>
    </r>
    <r>
      <rPr>
        <b/>
        <i/>
        <sz val="8"/>
        <color theme="1"/>
        <rFont val="Arial"/>
        <family val="2"/>
      </rPr>
      <t xml:space="preserve"> Reseerättning + Arvode på Årsmötet 2011         KRONOR</t>
    </r>
  </si>
  <si>
    <t xml:space="preserve">Curt Lundqvist </t>
  </si>
  <si>
    <t>Helene Berglöf</t>
  </si>
  <si>
    <t>Kjell Rudaues</t>
  </si>
  <si>
    <t>Rolf Elofsson</t>
  </si>
  <si>
    <t>Ann-Britt Ekner</t>
  </si>
  <si>
    <t>Robert Nyberg</t>
  </si>
  <si>
    <t>Ros-Marie Köhler</t>
  </si>
  <si>
    <t>Revisorer</t>
  </si>
  <si>
    <t>SUMMERING</t>
  </si>
  <si>
    <t>Styrelsearvode+ Rev</t>
  </si>
  <si>
    <t>Netto</t>
  </si>
  <si>
    <t>Stig timlön</t>
  </si>
  <si>
    <t>Total bet skatt</t>
  </si>
  <si>
    <t>Total reseersättning</t>
  </si>
  <si>
    <t>Arbetsgivaravgift</t>
  </si>
  <si>
    <t>Inbetalt datum</t>
  </si>
  <si>
    <t>Års-/styrelsemöten</t>
  </si>
  <si>
    <t>3:7</t>
  </si>
  <si>
    <t>Nr</t>
  </si>
  <si>
    <t xml:space="preserve">Eklundavägen </t>
  </si>
  <si>
    <t>6:82</t>
  </si>
  <si>
    <t>6:271</t>
  </si>
  <si>
    <t>6:80</t>
  </si>
  <si>
    <t>6:270</t>
  </si>
  <si>
    <t>6:79</t>
  </si>
  <si>
    <t>6:77</t>
  </si>
  <si>
    <t>6:105</t>
  </si>
  <si>
    <t>6:104</t>
  </si>
  <si>
    <t>6:102</t>
  </si>
  <si>
    <t>6:120</t>
  </si>
  <si>
    <t>6:119</t>
  </si>
  <si>
    <t>6:98</t>
  </si>
  <si>
    <t>6:100</t>
  </si>
  <si>
    <t>6:95</t>
  </si>
  <si>
    <t>Anita o Gustaf Berencreutz</t>
  </si>
  <si>
    <t>Ancha Blom</t>
  </si>
  <si>
    <t>Hans Eliasson</t>
  </si>
  <si>
    <t>Jerry o Ann-Britt Ekner</t>
  </si>
  <si>
    <t>Lorna Elofsson</t>
  </si>
  <si>
    <t>Jack Nyström</t>
  </si>
  <si>
    <t>Anette o Iska Karevaara</t>
  </si>
  <si>
    <t>Kjell Rudaeus</t>
  </si>
  <si>
    <t>Fastighetsbeteckn</t>
  </si>
  <si>
    <t>Ekvägen</t>
  </si>
  <si>
    <t>6:99</t>
  </si>
  <si>
    <t>6:12</t>
  </si>
  <si>
    <t>6:93</t>
  </si>
  <si>
    <t>6:118</t>
  </si>
  <si>
    <t>6:91</t>
  </si>
  <si>
    <t>6:117</t>
  </si>
  <si>
    <t>6:115</t>
  </si>
  <si>
    <t>6:116</t>
  </si>
  <si>
    <t>6:114</t>
  </si>
  <si>
    <t>6:112</t>
  </si>
  <si>
    <t>Marjatta Seluska</t>
  </si>
  <si>
    <t>Barbro Leder Johansson</t>
  </si>
  <si>
    <t>Joseph Markström-Williamsson</t>
  </si>
  <si>
    <t>Yrjö Pollari</t>
  </si>
  <si>
    <t>Helene Karlsson</t>
  </si>
  <si>
    <t>Eivor Tillborg</t>
  </si>
  <si>
    <t>Sven-Gunnar Andersson</t>
  </si>
  <si>
    <t>Rut Resare</t>
  </si>
  <si>
    <t>Rigmor o Niklas Schröder</t>
  </si>
  <si>
    <t>Syrenvägen</t>
  </si>
  <si>
    <t>6:110</t>
  </si>
  <si>
    <t>6:108</t>
  </si>
  <si>
    <t>6:113</t>
  </si>
  <si>
    <t>6:111</t>
  </si>
  <si>
    <t>Ulla Sandberg</t>
  </si>
  <si>
    <t>Marianne Olsson</t>
  </si>
  <si>
    <t>Gösta Heljesten</t>
  </si>
  <si>
    <t>Björn o Ingalill Norrblom</t>
  </si>
  <si>
    <t>Ringvägen</t>
  </si>
  <si>
    <t>6:84</t>
  </si>
  <si>
    <t>6:89</t>
  </si>
  <si>
    <t>6:81</t>
  </si>
  <si>
    <t>6:78</t>
  </si>
  <si>
    <t>6:86</t>
  </si>
  <si>
    <t>6:106</t>
  </si>
  <si>
    <t>6:85</t>
  </si>
  <si>
    <t>6:103</t>
  </si>
  <si>
    <t>6:109</t>
  </si>
  <si>
    <t>6:101</t>
  </si>
  <si>
    <t>6:107</t>
  </si>
  <si>
    <t>6:121</t>
  </si>
  <si>
    <t>Maria Sloth</t>
  </si>
  <si>
    <t>Catarina Wahlgren</t>
  </si>
  <si>
    <t>Åke o Inger Grönberg</t>
  </si>
  <si>
    <t>Eva Karlsson</t>
  </si>
  <si>
    <t>Ingrid Jonasson</t>
  </si>
  <si>
    <t>Peter Malmström/Lotta Angsell</t>
  </si>
  <si>
    <t>Curt Lundquist</t>
  </si>
  <si>
    <t>Ulla-Britt Wåhlin</t>
  </si>
  <si>
    <t>Anders Henriksson</t>
  </si>
  <si>
    <t>Leif Rurling</t>
  </si>
  <si>
    <t>Agneta o Rodney Gibson</t>
  </si>
  <si>
    <t>Vårvägen</t>
  </si>
  <si>
    <t>Dragonvägen</t>
  </si>
  <si>
    <t>6:97</t>
  </si>
  <si>
    <t>6:88</t>
  </si>
  <si>
    <t>6:96</t>
  </si>
  <si>
    <t>6:87</t>
  </si>
  <si>
    <t>6:94</t>
  </si>
  <si>
    <t>6:92</t>
  </si>
  <si>
    <t>6:90</t>
  </si>
  <si>
    <t>6:83</t>
  </si>
  <si>
    <t>Margot Svanberg</t>
  </si>
  <si>
    <t>Olle o Ingrid Moström</t>
  </si>
  <si>
    <t>Lars-Göran Persson</t>
  </si>
  <si>
    <t>Britt Arleheim</t>
  </si>
  <si>
    <t>Carina o Lars-Eric Ekdahl</t>
  </si>
  <si>
    <t>Kjell Skanning</t>
  </si>
  <si>
    <t>Anna o Gustav Jakobsson</t>
  </si>
  <si>
    <t>Sjövägen</t>
  </si>
  <si>
    <t>6:76</t>
  </si>
  <si>
    <t>6:40</t>
  </si>
  <si>
    <t>6:75</t>
  </si>
  <si>
    <t>6:41</t>
  </si>
  <si>
    <t>6:74</t>
  </si>
  <si>
    <t>6:42</t>
  </si>
  <si>
    <t>6:69</t>
  </si>
  <si>
    <t>6:43</t>
  </si>
  <si>
    <t>6:68</t>
  </si>
  <si>
    <t>6:67</t>
  </si>
  <si>
    <t>6:55</t>
  </si>
  <si>
    <t>6:66</t>
  </si>
  <si>
    <t>6:57</t>
  </si>
  <si>
    <t>6:58</t>
  </si>
  <si>
    <t>6:59</t>
  </si>
  <si>
    <t>6:64</t>
  </si>
  <si>
    <t>6:65</t>
  </si>
  <si>
    <t>Jan-Erik Bäckström</t>
  </si>
  <si>
    <t>Tommy Haglund</t>
  </si>
  <si>
    <t>Ove Rönnkvist</t>
  </si>
  <si>
    <t>David o Francine Finer</t>
  </si>
  <si>
    <t>Anita Wiberg</t>
  </si>
  <si>
    <t>Kajsa Björkman/Ronald Högberg</t>
  </si>
  <si>
    <t>Bertil Kalström</t>
  </si>
  <si>
    <t>Daniel o Therese Wiberg</t>
  </si>
  <si>
    <t>Göran Sand</t>
  </si>
  <si>
    <t>Birgitta o Tom Wärmé</t>
  </si>
  <si>
    <t>Ulla Haglund</t>
  </si>
  <si>
    <t>Badvägen</t>
  </si>
  <si>
    <t>6:73</t>
  </si>
  <si>
    <t>6:72</t>
  </si>
  <si>
    <t>6:70</t>
  </si>
  <si>
    <t>6:71</t>
  </si>
  <si>
    <t>Henry o Greta Bäckström</t>
  </si>
  <si>
    <t>Per-Olof Åkerstedt</t>
  </si>
  <si>
    <t>Torbjörn Lindgren</t>
  </si>
  <si>
    <t>Trollvägen</t>
  </si>
  <si>
    <t>6:63</t>
  </si>
  <si>
    <t>6:60</t>
  </si>
  <si>
    <t>6:61</t>
  </si>
  <si>
    <t>6:62</t>
  </si>
  <si>
    <t>Lena o Sune Danielsson</t>
  </si>
  <si>
    <t>Rose-Marie Persson</t>
  </si>
  <si>
    <t>Mikael Rydberg</t>
  </si>
  <si>
    <t>Niklas Haglund</t>
  </si>
  <si>
    <t>Björkvägen</t>
  </si>
  <si>
    <t>6:56</t>
  </si>
  <si>
    <t>6:44</t>
  </si>
  <si>
    <t>6:54</t>
  </si>
  <si>
    <t>6:47</t>
  </si>
  <si>
    <t>6:53</t>
  </si>
  <si>
    <t>6:52</t>
  </si>
  <si>
    <t>6:51</t>
  </si>
  <si>
    <t>6:50</t>
  </si>
  <si>
    <t>Mats Berglöf</t>
  </si>
  <si>
    <t>Åke Strandberg</t>
  </si>
  <si>
    <t>Torbjörn Killander</t>
  </si>
  <si>
    <t>Ann-Marie o Bengt Roll</t>
  </si>
  <si>
    <t>Åkervägen</t>
  </si>
  <si>
    <t>6:29</t>
  </si>
  <si>
    <t>6:30</t>
  </si>
  <si>
    <t>6:31</t>
  </si>
  <si>
    <t>6:32</t>
  </si>
  <si>
    <t>6:33</t>
  </si>
  <si>
    <t>6:34</t>
  </si>
  <si>
    <t>Marietta Jurefors</t>
  </si>
  <si>
    <t>Mia Sköldén</t>
  </si>
  <si>
    <t>John Mikael Wilhelmsson</t>
  </si>
  <si>
    <t>Peter Johansson</t>
  </si>
  <si>
    <t>Hagavägen</t>
  </si>
  <si>
    <t>Harvägen</t>
  </si>
  <si>
    <t>Hallonvägen</t>
  </si>
  <si>
    <t>6:15</t>
  </si>
  <si>
    <t>6:39</t>
  </si>
  <si>
    <t>6:03</t>
  </si>
  <si>
    <t>6:27</t>
  </si>
  <si>
    <t>6:16</t>
  </si>
  <si>
    <t>6:26</t>
  </si>
  <si>
    <t>6:17</t>
  </si>
  <si>
    <t>6:18</t>
  </si>
  <si>
    <t>6:19</t>
  </si>
  <si>
    <t>6:2</t>
  </si>
  <si>
    <t>6:1</t>
  </si>
  <si>
    <t>6:14</t>
  </si>
  <si>
    <t>6:25</t>
  </si>
  <si>
    <t>6:20</t>
  </si>
  <si>
    <t>6:24</t>
  </si>
  <si>
    <t>6:21</t>
  </si>
  <si>
    <t>Birgitta Wågman</t>
  </si>
  <si>
    <t>Berit Sjödén</t>
  </si>
  <si>
    <t>Lillemor o Peter Samsoie</t>
  </si>
  <si>
    <t>Kristina Lindquist Carlsson</t>
  </si>
  <si>
    <t>Inger Ekstrand</t>
  </si>
  <si>
    <t>Herman Lundell</t>
  </si>
  <si>
    <t>Madeleine Lundberg</t>
  </si>
  <si>
    <t>Christer Andersson</t>
  </si>
  <si>
    <t>Irene Lindström</t>
  </si>
  <si>
    <t>May Markskog</t>
  </si>
  <si>
    <t>Barbro Franzén</t>
  </si>
  <si>
    <t>Jani Villanen</t>
  </si>
  <si>
    <t>Åvägen</t>
  </si>
  <si>
    <t>6:22</t>
  </si>
  <si>
    <t>Ängsvägen</t>
  </si>
  <si>
    <t>6:23</t>
  </si>
  <si>
    <t>Tina Nilsson/Jan Sjödahl</t>
  </si>
  <si>
    <t>6:38</t>
  </si>
  <si>
    <t>6:28</t>
  </si>
  <si>
    <t>6:37</t>
  </si>
  <si>
    <t>6:36</t>
  </si>
  <si>
    <t>6:35</t>
  </si>
  <si>
    <t>6:45</t>
  </si>
  <si>
    <t>6:46</t>
  </si>
  <si>
    <t>6:48</t>
  </si>
  <si>
    <t>6:49</t>
  </si>
  <si>
    <t>Tore Boström</t>
  </si>
  <si>
    <t>Lailaa Jonsson</t>
  </si>
  <si>
    <t>Bo o Annica Rönnqvist</t>
  </si>
  <si>
    <t>Jan o Bitte Haversten</t>
  </si>
  <si>
    <t>Birgitta Agbro</t>
  </si>
  <si>
    <t>Stefen Ceder</t>
  </si>
  <si>
    <t>Vitsjö Gård</t>
  </si>
  <si>
    <t>5:9</t>
  </si>
  <si>
    <t>Margareta Åsberg</t>
  </si>
  <si>
    <t>3B</t>
  </si>
  <si>
    <t>2:1</t>
  </si>
  <si>
    <t>Philip Schwab</t>
  </si>
  <si>
    <t>Kommentar</t>
  </si>
  <si>
    <t>Ej betalt</t>
  </si>
  <si>
    <t>Radetiketter</t>
  </si>
  <si>
    <t>Totalsumma</t>
  </si>
  <si>
    <t>Summa av Ej betalt</t>
  </si>
  <si>
    <t>Betalt</t>
  </si>
  <si>
    <t>Antal av Betalt</t>
  </si>
  <si>
    <t>Summa av Betalt</t>
  </si>
  <si>
    <t>Rose Marie Köhler</t>
  </si>
  <si>
    <t>Redovisning MIDSOMMAR 2011</t>
  </si>
  <si>
    <t>a)  Midsommaraktiviter</t>
  </si>
  <si>
    <t>b) Midsommarbingo</t>
  </si>
  <si>
    <t>Försäljning</t>
  </si>
  <si>
    <t>Vinster</t>
  </si>
  <si>
    <t>Godis-läsk</t>
  </si>
  <si>
    <t>Korv</t>
  </si>
  <si>
    <t>Intäkter (fördelningen inte exakt)</t>
  </si>
  <si>
    <t>Inköp</t>
  </si>
  <si>
    <t>Kaffe/saft</t>
  </si>
  <si>
    <t>Musikanläggn</t>
  </si>
  <si>
    <t>Pilkastning</t>
  </si>
  <si>
    <t>Bollkastning</t>
  </si>
  <si>
    <t>Lotteriring</t>
  </si>
  <si>
    <t>Övr lotterier</t>
  </si>
  <si>
    <t xml:space="preserve">IB </t>
  </si>
  <si>
    <t xml:space="preserve">Påminnelseavgifter                         </t>
  </si>
  <si>
    <t>Enligt pg</t>
  </si>
  <si>
    <t>401203-6952</t>
  </si>
  <si>
    <t>Glenn Andersson</t>
  </si>
  <si>
    <t>Mary Erjestedt</t>
  </si>
  <si>
    <t>Ulla Björkegren</t>
  </si>
  <si>
    <t>Björn o Stina Falkenström</t>
  </si>
  <si>
    <t>Irene Mejerhed</t>
  </si>
  <si>
    <t>Nr 1</t>
  </si>
  <si>
    <t>Skatt och arb givaravg</t>
  </si>
  <si>
    <t>Totalt utbetalt</t>
  </si>
  <si>
    <t>Skyltar</t>
  </si>
  <si>
    <t>Personnr</t>
  </si>
  <si>
    <t xml:space="preserve">Påminnelseavgifter                       </t>
  </si>
  <si>
    <t xml:space="preserve">Övrigt underhåll </t>
  </si>
  <si>
    <t>ARVODEN, Skatt o Arbetsgivaravgift samt reseersättning                                                 Utbetalningsunderlag 2011-2012. Utbetalas på årsmöte 2012.</t>
  </si>
  <si>
    <r>
      <t>Antal möten</t>
    </r>
    <r>
      <rPr>
        <b/>
        <i/>
        <sz val="8"/>
        <color theme="1"/>
        <rFont val="Arial"/>
        <family val="2"/>
      </rPr>
      <t xml:space="preserve"> from juni 2011 tom maj 2012</t>
    </r>
  </si>
  <si>
    <t>Ersättning för lokal och förtäring vid mötena</t>
  </si>
  <si>
    <t>2011-2012</t>
  </si>
  <si>
    <t>Arb givaravgift</t>
  </si>
  <si>
    <t>Utbetalas juni</t>
  </si>
  <si>
    <t>Betalas i juli; arb avg</t>
  </si>
  <si>
    <t xml:space="preserve">Övrigt, löpande underhåll  </t>
  </si>
  <si>
    <t>Utgående saldo</t>
  </si>
  <si>
    <t>Nytt vägnamn</t>
  </si>
  <si>
    <t>Resultat</t>
  </si>
  <si>
    <t>Betalt 2012-06-18</t>
  </si>
  <si>
    <t>En aktiv revisor; fick betalt 2012-05-26</t>
  </si>
  <si>
    <t>Ännu ej betalt/insatt</t>
  </si>
  <si>
    <t>Nr 2</t>
  </si>
  <si>
    <t xml:space="preserve">Curt Lundquist </t>
  </si>
  <si>
    <t>400615-7855</t>
  </si>
  <si>
    <t>490831-0214</t>
  </si>
  <si>
    <t>511110-7867</t>
  </si>
  <si>
    <t>Anemonvägen</t>
  </si>
  <si>
    <t>Blåklintvägen</t>
  </si>
  <si>
    <t>Blåklockevägen</t>
  </si>
  <si>
    <t>Dahliavägen</t>
  </si>
  <si>
    <t>Harsyrevägen</t>
  </si>
  <si>
    <t>Irisvägen</t>
  </si>
  <si>
    <t>Liljekonvaljvägen</t>
  </si>
  <si>
    <t>Lupinvägen</t>
  </si>
  <si>
    <t>2b</t>
  </si>
  <si>
    <t>Mandelblomsvägen</t>
  </si>
  <si>
    <t>Skvadronvägen</t>
  </si>
  <si>
    <t>Syrenblomsvägen</t>
  </si>
  <si>
    <t>Timotejvägen</t>
  </si>
  <si>
    <t>Vårlöksvägen</t>
  </si>
  <si>
    <t>Åkerviolvägen</t>
  </si>
  <si>
    <t>Ängsklockevägen</t>
  </si>
  <si>
    <t>Vägnamn förr</t>
  </si>
  <si>
    <t>Betalt 2012-07-05</t>
  </si>
  <si>
    <t>Betalt 2012-07-16</t>
  </si>
  <si>
    <t>Ulrika o Renato Rios</t>
  </si>
  <si>
    <t>Benny Billfors</t>
  </si>
  <si>
    <t>Fatou Vikström</t>
  </si>
  <si>
    <t>4 syskon ägare</t>
  </si>
  <si>
    <t>Lena Heitman/Rolf Friberg</t>
  </si>
  <si>
    <t>Dessa har betalat in för lite/för mycket för 2012-2013:</t>
  </si>
  <si>
    <t>Mandelblomsv</t>
  </si>
  <si>
    <t xml:space="preserve"> </t>
  </si>
  <si>
    <t>Bidrag från Trafikverket</t>
  </si>
  <si>
    <t>Överföring till pg i samband med bokslutet</t>
  </si>
  <si>
    <t>Netto FÖRE årets transaktioner</t>
  </si>
  <si>
    <t>a) Stora lotteriet</t>
  </si>
  <si>
    <t>Intäkter</t>
  </si>
  <si>
    <t>Kostnader</t>
  </si>
  <si>
    <t>Redovisning MIDSOMMAR 2012</t>
  </si>
  <si>
    <t>b) Övrigt för spel, godisförsäljning mm</t>
  </si>
  <si>
    <t>Lotteri</t>
  </si>
  <si>
    <t>Godis, popcorn mm</t>
  </si>
  <si>
    <t>Fiskdamm</t>
  </si>
  <si>
    <t>Spel, medaljer</t>
  </si>
  <si>
    <t>c) Bingo, midsommardagen</t>
  </si>
  <si>
    <t>Ers för traktor</t>
  </si>
  <si>
    <t>Läsk</t>
  </si>
  <si>
    <t>Korv, kaffe mm</t>
  </si>
  <si>
    <t>Saldo</t>
  </si>
  <si>
    <t>Netto hela midsommarhelgen</t>
  </si>
  <si>
    <t>Ingående saldo 2012-01-01</t>
  </si>
  <si>
    <t>d) Ers för el och musikanläggning</t>
  </si>
  <si>
    <t>Utgående saldo per 2012-08-22</t>
  </si>
  <si>
    <t>Midsommarkontot - bankkontot</t>
  </si>
  <si>
    <t>Övriga aktivitetet ca 12800</t>
  </si>
  <si>
    <t>Totalt + 14 100 kr</t>
  </si>
  <si>
    <t>Fg år Midsommarbingon netto 1300 (intäkter 10000 - priser 8700 kr)</t>
  </si>
  <si>
    <t>Mark o Claery Westberg</t>
  </si>
  <si>
    <t>Kristian Gimsenius</t>
  </si>
  <si>
    <t>Trans.dag</t>
  </si>
  <si>
    <t>Specifikation</t>
  </si>
  <si>
    <t>Inbetalning bokförd 120430</t>
  </si>
  <si>
    <t>Arbetsgivaravgift april 2012</t>
  </si>
  <si>
    <t>Avdragen skatt april 2012</t>
  </si>
  <si>
    <t>Inbetalning bokförd 120822</t>
  </si>
  <si>
    <t>Intäktsränta</t>
  </si>
  <si>
    <t>Arbetsgivaravgift aug 2012</t>
  </si>
  <si>
    <t>Avdragen skatt aug 2012</t>
  </si>
  <si>
    <t>Inbetalning bokförd 121220</t>
  </si>
  <si>
    <t>Arbetsgivaravgift dec 2012</t>
  </si>
  <si>
    <t>Avdragen skatt dec 2012</t>
  </si>
  <si>
    <t>ARVODEN, Skatt o Arbetsgivaravgift samt reseersättning                                                 Utbetalningsunderlag 2012-2013. Utbetalas på årsmöte 2013.</t>
  </si>
  <si>
    <r>
      <t>Antal möten</t>
    </r>
    <r>
      <rPr>
        <b/>
        <i/>
        <sz val="8"/>
        <color theme="1"/>
        <rFont val="Arial"/>
        <family val="2"/>
      </rPr>
      <t xml:space="preserve"> from juni 2012 tom maj 2013</t>
    </r>
  </si>
  <si>
    <r>
      <rPr>
        <b/>
        <i/>
        <sz val="10"/>
        <color theme="1"/>
        <rFont val="Arial"/>
        <family val="2"/>
      </rPr>
      <t>Utbetalning</t>
    </r>
    <r>
      <rPr>
        <b/>
        <i/>
        <sz val="8"/>
        <color theme="1"/>
        <rFont val="Arial"/>
        <family val="2"/>
      </rPr>
      <t xml:space="preserve"> Reseerättning + Arvode på Årsmötet 2012         KRONOR</t>
    </r>
  </si>
  <si>
    <t>Björn Norrblom</t>
  </si>
  <si>
    <t>2012-2013</t>
  </si>
  <si>
    <t>Total prel skatt</t>
  </si>
  <si>
    <t>Bokslutsdispositioner:</t>
  </si>
  <si>
    <t>Ers förråd KrG</t>
  </si>
  <si>
    <t>UTFALL           2013-2014</t>
  </si>
  <si>
    <t>Budgetår 2013-14</t>
  </si>
  <si>
    <t>Lönebesked n 1 2013</t>
  </si>
  <si>
    <t>Maj - juni 2013</t>
  </si>
  <si>
    <t>Utbet 2013-06-19</t>
  </si>
  <si>
    <t>Utbet 2013-05-19</t>
  </si>
  <si>
    <t>Utbet 2013-06-27</t>
  </si>
  <si>
    <t>Faktiskt utfall 2013-2014</t>
  </si>
  <si>
    <t>Redovisning MIDSOMMAR 2013</t>
  </si>
  <si>
    <t>Inköp sopkorgar</t>
  </si>
  <si>
    <t>Utgående saldo per 2013-06-30</t>
  </si>
  <si>
    <t>Totalt + 15 700 kr</t>
  </si>
  <si>
    <t>Midsommarbingon: 8 700 kr (priser 3 686 kr)</t>
  </si>
  <si>
    <t>2012: Lotterier, spel, el mm = 7000 kr</t>
  </si>
  <si>
    <t xml:space="preserve">e) Ers för el </t>
  </si>
  <si>
    <t>c) Orkester</t>
  </si>
  <si>
    <t>Övrigt</t>
  </si>
  <si>
    <t>d) Bingo, midsommardagen (intäkterna beräknade)</t>
  </si>
  <si>
    <t>Godis, fiskdamm mm</t>
  </si>
  <si>
    <t>Korv, muffins mm</t>
  </si>
  <si>
    <t>2011: Midsommarbingon netto 1300 (intäkter 10000 - priser 8700 kr)</t>
  </si>
  <si>
    <t>(kostn inkl lottringar)</t>
  </si>
  <si>
    <t>(flaggor, sopsäckar mm)</t>
  </si>
  <si>
    <t>Utbet 2013-07-04</t>
  </si>
  <si>
    <t>Per Söderberg</t>
  </si>
  <si>
    <t>Anders Meijer</t>
  </si>
  <si>
    <t>Betalat 150 kr för lite 2012-2013</t>
  </si>
  <si>
    <t>Skatteredovisning för 2013</t>
  </si>
  <si>
    <t xml:space="preserve"> = Inbetalt 2013-08-19</t>
  </si>
  <si>
    <t>Lilian Jonsson</t>
  </si>
  <si>
    <t>Tidigare Pernilla Ekestolpe</t>
  </si>
  <si>
    <t>Tidigare Harriet Björklund</t>
  </si>
  <si>
    <t>Annika och Roger Örneholm</t>
  </si>
  <si>
    <t>Therese Edvall o Mikael Björkman</t>
  </si>
  <si>
    <t>Ann-Christin Edblad</t>
  </si>
  <si>
    <t>Medlemsavgifter för 2013-2014</t>
  </si>
  <si>
    <t>f) Tipspromenad</t>
  </si>
  <si>
    <t>OBS!! 2011+2012 ingen orkester, men då 1500 kr för utrustning</t>
  </si>
  <si>
    <t>Martin o Sofia Neselius</t>
  </si>
  <si>
    <t>Gift sig? Jan Johansson?</t>
  </si>
  <si>
    <t>Kicki o Leif Hassa Jansson</t>
  </si>
  <si>
    <t>Igor Donkervoort/Jane Schultzberg</t>
  </si>
  <si>
    <t>Nina Kilander</t>
  </si>
  <si>
    <t>Tidigare AnnCharlotte Blom</t>
  </si>
  <si>
    <t>Ingrid Staflin</t>
  </si>
  <si>
    <t>Monica Nilsson o Ingemar Ström</t>
  </si>
  <si>
    <t>Carina Glas o Anders Krantz</t>
  </si>
  <si>
    <t>Lönebesked n 2 2013</t>
  </si>
  <si>
    <t>Juli - aug 2013</t>
  </si>
  <si>
    <t>Bg-avgift</t>
  </si>
  <si>
    <t>Hasan Ali o Hasina Akther</t>
  </si>
  <si>
    <t xml:space="preserve"> = Inbetalt 2013-10-14</t>
  </si>
  <si>
    <t>Vinterstakning</t>
  </si>
  <si>
    <t>Lönebesked nr 3 2013</t>
  </si>
  <si>
    <t>Sep - okt 2013</t>
  </si>
  <si>
    <t>Lön, 12 tim</t>
  </si>
  <si>
    <t xml:space="preserve"> = Inbetalt 2013-11-06</t>
  </si>
  <si>
    <t>Förskott 2014</t>
  </si>
  <si>
    <t>Medlemsavgift</t>
  </si>
  <si>
    <t>Omfattar transaktionstyp: Alla fr.o.m. 2012-01-01 t.o.m. 2014-02-12, sorterade efter transaktiondag. (Sortera genom att klicka på rubrikerna.)</t>
  </si>
  <si>
    <t>Belopp </t>
  </si>
  <si>
    <t>10 415</t>
  </si>
  <si>
    <t>-3 632</t>
  </si>
  <si>
    <t>-6 783</t>
  </si>
  <si>
    <t>6 997</t>
  </si>
  <si>
    <t>-1 580</t>
  </si>
  <si>
    <t>-5 417</t>
  </si>
  <si>
    <t>Arbetsgivaravgift juli 2013</t>
  </si>
  <si>
    <t>-4 075</t>
  </si>
  <si>
    <t>Avdragen skatt juli 2013</t>
  </si>
  <si>
    <t>-8 302</t>
  </si>
  <si>
    <t>Inbetalning bokförd 130819</t>
  </si>
  <si>
    <t>12 379</t>
  </si>
  <si>
    <t>Arbetsgivaravgift sept 2013</t>
  </si>
  <si>
    <t>Avdragen skatt sept 2013</t>
  </si>
  <si>
    <t>-2 821</t>
  </si>
  <si>
    <t>Inbetalning bokförd 131014</t>
  </si>
  <si>
    <t>3 643</t>
  </si>
  <si>
    <t>Inbetalning bokförd 131106</t>
  </si>
  <si>
    <t>3 072</t>
  </si>
  <si>
    <t>Arbetsgivaravgift okt 2013</t>
  </si>
  <si>
    <t>Avdragen skatt okt 2013</t>
  </si>
  <si>
    <t>-2 379</t>
  </si>
  <si>
    <t>Utgående saldo 2014-02-12</t>
  </si>
  <si>
    <t>Lönebesked nr 1 2014</t>
  </si>
  <si>
    <t>Dec 2013 - feb 2014</t>
  </si>
  <si>
    <t>Lön, 16 tim</t>
  </si>
  <si>
    <t>Budgetår 2013-2014</t>
  </si>
  <si>
    <t>Skatteredovisning för 2014</t>
  </si>
  <si>
    <t>Nr 1 2014</t>
  </si>
  <si>
    <t>REV årsavgift mm</t>
  </si>
  <si>
    <t>REV medlemsavgift/försäkring</t>
  </si>
  <si>
    <t xml:space="preserve"> = Inbetalt 2014-04-28</t>
  </si>
  <si>
    <t>Snöröjning</t>
  </si>
  <si>
    <t>ARVODEN, Skatt o Arbetsgivaravgift samt reseersättning                                                 Utbetalningsunderlag 2013-2014. Utbetalas på årsmöte 2014.</t>
  </si>
  <si>
    <t>2013-2014</t>
  </si>
  <si>
    <t xml:space="preserve">Uttag 2013 förskott priser, lotterier mm </t>
  </si>
  <si>
    <t>Inköp 2014-2015</t>
  </si>
  <si>
    <t>Mark och Väg</t>
  </si>
  <si>
    <t>Deltagit på möten:</t>
  </si>
  <si>
    <t>FÖRE Årsmötet</t>
  </si>
  <si>
    <t>Aug</t>
  </si>
  <si>
    <t>Nov</t>
  </si>
  <si>
    <t>Feb</t>
  </si>
  <si>
    <t>Maj</t>
  </si>
  <si>
    <r>
      <t>Antal möten</t>
    </r>
    <r>
      <rPr>
        <b/>
        <i/>
        <sz val="8"/>
        <color theme="1"/>
        <rFont val="Arial"/>
        <family val="2"/>
      </rPr>
      <t xml:space="preserve"> from juni 2013 tom maj 2014</t>
    </r>
  </si>
  <si>
    <t>Totalt</t>
  </si>
  <si>
    <t>Gunilla Fredriksson</t>
  </si>
  <si>
    <r>
      <rPr>
        <b/>
        <i/>
        <sz val="10"/>
        <color theme="1"/>
        <rFont val="Arial"/>
        <family val="2"/>
      </rPr>
      <t>Utbetalning</t>
    </r>
    <r>
      <rPr>
        <b/>
        <i/>
        <sz val="8"/>
        <color theme="1"/>
        <rFont val="Arial"/>
        <family val="2"/>
      </rPr>
      <t xml:space="preserve"> Reseerättning + Arvode på Årsmötet 2014         KRONOR</t>
    </r>
  </si>
  <si>
    <t>Arb giv+prelskatt</t>
  </si>
  <si>
    <t>Soc + skatt</t>
  </si>
  <si>
    <t>Vägunderhåll Vinter inkl sand/grus</t>
  </si>
  <si>
    <t>Väghyvling inkl grus, kantskärning</t>
  </si>
  <si>
    <t>Vägslåtter, diken mm</t>
  </si>
  <si>
    <t>2014-05-01--2015-04-30</t>
  </si>
  <si>
    <t>UTFALL och BUDGET 2014-2015 o Utfall 2013-2014</t>
  </si>
  <si>
    <t>UTFALL           2014-2015</t>
  </si>
  <si>
    <t>BUDGET        2014-2015</t>
  </si>
  <si>
    <t>UTFALL   2014-2015</t>
  </si>
  <si>
    <t>BUDGET     2014-2015</t>
  </si>
  <si>
    <t>UTFALL  2013-2014</t>
  </si>
  <si>
    <t>Vändning: Snöröjning</t>
  </si>
  <si>
    <t>Vändning: Bygdegårdshyra till Vägför</t>
  </si>
  <si>
    <t>Revisorsarvode (uttag KaB)</t>
  </si>
  <si>
    <t>Avtackning vid kommande årsmöte</t>
  </si>
  <si>
    <t>Tommy Nyström Snöröjning</t>
  </si>
  <si>
    <t xml:space="preserve">Inköp pumptermos 4 st </t>
  </si>
  <si>
    <t>Porto+tändvätska; ers utlägg KjR</t>
  </si>
  <si>
    <t>Blommor till avtackning, årsmöte</t>
  </si>
  <si>
    <t>Förtäring vid årsmötet, grillning</t>
  </si>
  <si>
    <t>Förtäring, grillning, vid årsmötet 783 kr;</t>
  </si>
  <si>
    <t>Avtackning Kjell o Robert 1500 kr; blommor för avtackning 3 st 467 kr;</t>
  </si>
  <si>
    <t xml:space="preserve"> = utbetalt 2014-06-17</t>
  </si>
  <si>
    <t>Arvode</t>
  </si>
  <si>
    <t>Reseers</t>
  </si>
  <si>
    <t>Arvoden + reseersättning</t>
  </si>
  <si>
    <t>Se förteckning</t>
  </si>
  <si>
    <t>Tidigare Philip Schwab</t>
  </si>
  <si>
    <t>Anders Berndtsson o Karin Fröjd</t>
  </si>
  <si>
    <t>Tidigare Jens Wigen</t>
  </si>
  <si>
    <t>Roger o Eva Janving</t>
  </si>
  <si>
    <t>Bensin, presentkort klipphjälp mm</t>
  </si>
  <si>
    <t xml:space="preserve"> = utbetalt 2014-06-18</t>
  </si>
  <si>
    <t>Budgetår 2014-2015</t>
  </si>
  <si>
    <t>Lönebesked nr 2 2014</t>
  </si>
  <si>
    <t xml:space="preserve">Mars 2014 - juni 2014 </t>
  </si>
  <si>
    <t>Lön, 40 tim</t>
  </si>
  <si>
    <t>Redovisning MIDSOMMAR 2014</t>
  </si>
  <si>
    <t>UNGEFÄRLIG BERÄKNING</t>
  </si>
  <si>
    <t>Ingående saldo 2014-01-01</t>
  </si>
  <si>
    <t>Utgående saldo per 2014-06-30</t>
  </si>
  <si>
    <t>Sand till sandlådor</t>
  </si>
  <si>
    <t>Ers för traktor, sång, el</t>
  </si>
  <si>
    <t>Priser till stora lotteriet</t>
  </si>
  <si>
    <t>a) Midsommarafton</t>
  </si>
  <si>
    <t xml:space="preserve">                            Summa midsommarafton</t>
  </si>
  <si>
    <t>Midsommarbingon: 4 726 kr (priser 3 274 kr)</t>
  </si>
  <si>
    <t>2013: Lotterier, spel, el mm = 4 322 kr</t>
  </si>
  <si>
    <t>(Orkester för 8000 kr)</t>
  </si>
  <si>
    <t>Tipspromenad: 1920 kr</t>
  </si>
  <si>
    <t>Totalt + 10 968 kr kr</t>
  </si>
  <si>
    <t>inkl lottringar</t>
  </si>
  <si>
    <t>500 kr i presentkort kvar</t>
  </si>
  <si>
    <t>4 x 100 kr Rusta + 1 x 100 kr blomsterlandet</t>
  </si>
  <si>
    <t>inkl presentkorten</t>
  </si>
  <si>
    <t>Ers Stig P 40 tim</t>
  </si>
  <si>
    <t>Budget 2014-2015</t>
  </si>
  <si>
    <t>Faktiskt utfall 2014-2015</t>
  </si>
  <si>
    <t>Sand t sandlådor 2014; Sopkorgar 2013</t>
  </si>
  <si>
    <t>Tipsrunda 2013</t>
  </si>
  <si>
    <t>470720-1416</t>
  </si>
  <si>
    <t>Lön, 4,5 tim à 200 kr</t>
  </si>
  <si>
    <t>Ersättning för:</t>
  </si>
  <si>
    <t>4,5 tim à 400 kr/tim</t>
  </si>
  <si>
    <t>Maskin, bränsle mm</t>
  </si>
  <si>
    <t>Prel skatt  25%</t>
  </si>
  <si>
    <t>Båt, bränsle mm</t>
  </si>
  <si>
    <t>2 tim à 600 kr/tim</t>
  </si>
  <si>
    <t>Lön, 2 tim à 200 kr; vassröjning</t>
  </si>
  <si>
    <t>Ers Björn Norrblom; kantskärning</t>
  </si>
  <si>
    <t>Ers Björn norrblom; vassröjning</t>
  </si>
  <si>
    <t>Vindfälle hos Conny fredriksson</t>
  </si>
  <si>
    <t>Rickard o Maria Rosén</t>
  </si>
  <si>
    <t>BG-avgift</t>
  </si>
  <si>
    <t xml:space="preserve"> = Redovisat 2014-08-06;  Inbetalt 2014-08-12</t>
  </si>
  <si>
    <t>Arb giv avg + prel skatt</t>
  </si>
  <si>
    <t>Grenar längs vägar, vass mm</t>
  </si>
  <si>
    <t>Vindfällen, trädfällning, skogsplan</t>
  </si>
  <si>
    <t>Buskröjning, vass  mm</t>
  </si>
  <si>
    <t>Hemsida</t>
  </si>
  <si>
    <t>Hemsida 1625 kr;</t>
  </si>
  <si>
    <t>Ers utlägg Stig bensin bl a</t>
  </si>
  <si>
    <t>Linus Svedbjörk?</t>
  </si>
  <si>
    <t>ARVODEN, Skatt o Arbetsgivaravgift samt reseersättning                                                 Utbetalningsunderlag 2014-2015. Utbetalas på årsmöte 2015.</t>
  </si>
  <si>
    <t>Kjell Rudeaus</t>
  </si>
  <si>
    <t>Therese W</t>
  </si>
  <si>
    <t>Lönebesked nr 3 2014</t>
  </si>
  <si>
    <t>Juni - aug 2014</t>
  </si>
  <si>
    <t>Lön, 25,5 tim</t>
  </si>
  <si>
    <t>Nr 3 2014</t>
  </si>
  <si>
    <t>Gunilla/Conny Fredriksson</t>
  </si>
  <si>
    <t>Kuvert o frimärken (ers InS)</t>
  </si>
  <si>
    <t>Ers Stig 25,5 tim</t>
  </si>
  <si>
    <t>Bg-avgifter</t>
  </si>
  <si>
    <t>Tagessons grus 15,48 ton t potthål</t>
  </si>
  <si>
    <t>Utökad sophämtning</t>
  </si>
  <si>
    <t>Ers utlägg CuL kont mtrl, plast t träd</t>
  </si>
  <si>
    <t>Tidigare Anders nordenskiöld</t>
  </si>
  <si>
    <t>Robert Staflin</t>
  </si>
  <si>
    <t>Ers utlägg Curt L frimärken+reseers</t>
  </si>
  <si>
    <t>Se förteckning; CuL 1000 kr;</t>
  </si>
  <si>
    <t>Skogsutredning</t>
  </si>
  <si>
    <t>Lönebesked nr 4 2014</t>
  </si>
  <si>
    <t>Sep - okt 2014</t>
  </si>
  <si>
    <t>Lön, 13 tim</t>
  </si>
  <si>
    <t xml:space="preserve"> = Redovisat 2014-11-06; inbetalt 2014-11-07</t>
  </si>
  <si>
    <t>Hedenlund Marklösen, utredn</t>
  </si>
  <si>
    <t>HM 50% från Vägföreningen</t>
  </si>
  <si>
    <t>Hedenlund Marklösen utr förrättn 5000 kr; 50% fr Vägföreningen -2500 kr;</t>
  </si>
  <si>
    <t>Ers Stig 13 tim + stakning</t>
  </si>
  <si>
    <t>Skatt o arb givaravgift t o m oktober</t>
  </si>
  <si>
    <t>Ramirent; maskin för vinterstakning</t>
  </si>
  <si>
    <t>Roslagens Farmartj Slyröjning</t>
  </si>
  <si>
    <t>Ers BjN vassröjning 1500 kr; vindfälle CoF 1274 kr; plast t trädmärkning 96 kr; Skogsutrening 10088 kr; slyröjning 14106 kr; marklov fr kommunen 3575 kr;</t>
  </si>
  <si>
    <t>Summa Stig 2014</t>
  </si>
  <si>
    <t>Summa totalt</t>
  </si>
  <si>
    <t>Årsavgift pg-konto</t>
  </si>
  <si>
    <t>Årsavgift pg-konto 450 kr</t>
  </si>
  <si>
    <t>Bidrag fr Trafiksäkerhetsverket</t>
  </si>
  <si>
    <t>N-tälje kommun Markbygglov</t>
  </si>
  <si>
    <t>Reseers Curt; förrättningsmöte</t>
  </si>
  <si>
    <t>Medlemsavgift Estuna</t>
  </si>
  <si>
    <t>Sophämtning</t>
  </si>
  <si>
    <t>REV Förbundsstämma</t>
  </si>
  <si>
    <t>REV medlemsavgift för 2015</t>
  </si>
  <si>
    <t>Hyra Estuna till årsmötet</t>
  </si>
  <si>
    <t>Vändning uppbokning hyra årsmöte 500 kr; medlemsavg 150 kr; hyra 2015 årsmöte 400 kr;</t>
  </si>
  <si>
    <t>Förbundsstämma 2200 kr; årsavgift 2015 1160 kr;</t>
  </si>
  <si>
    <t>Om arvoden 250 kr:</t>
  </si>
  <si>
    <t>Om arvoden 300 kr:</t>
  </si>
  <si>
    <t>Om 5 möten</t>
  </si>
  <si>
    <t>Om 4 möten</t>
  </si>
  <si>
    <t>Dispens eldningsförbud N-tälje</t>
  </si>
  <si>
    <t>Skylt om Lösa hundar</t>
  </si>
  <si>
    <t>2013-2014 = 86 tim + vinterstakning</t>
  </si>
  <si>
    <t>2012-2013 = 63 tim + vinterstakning</t>
  </si>
  <si>
    <t>Norrtälje 2015-04-30</t>
  </si>
  <si>
    <t>FÖRE/Efter Årsmötet</t>
  </si>
  <si>
    <t xml:space="preserve"> Rese- ersättning 250:-/möte       KRONOR</t>
  </si>
  <si>
    <t>Städdagen; utgifter för korv mm</t>
  </si>
  <si>
    <t>Städdagen; ers till medlemmar</t>
  </si>
  <si>
    <t>Vägslåtter juli 2014</t>
  </si>
  <si>
    <t>Klätterställning 2015 Grillmöbler 2013</t>
  </si>
  <si>
    <t>Lönebesked nr 1 2015</t>
  </si>
  <si>
    <t xml:space="preserve"> Mars-15</t>
  </si>
  <si>
    <t>Nr 1 2015</t>
  </si>
  <si>
    <t xml:space="preserve"> = Inbetalt 2015-04-28</t>
  </si>
  <si>
    <t>Skatteredovisning för 2015</t>
  </si>
  <si>
    <t>Ers Björn f olja o penslar</t>
  </si>
  <si>
    <t>Ers BjN kantskärning 2475 kr; 15,48 ton grus till potthål 2698 kr; uppbokning vägslåtter 3000 kr</t>
  </si>
  <si>
    <t xml:space="preserve">20 tim </t>
  </si>
  <si>
    <t>Skylt 450 kr:</t>
  </si>
  <si>
    <t>Ers Ingrid för porto</t>
  </si>
  <si>
    <t>Ers utlägg Stig bensin, virke bl a</t>
  </si>
  <si>
    <t>Ers 16 tim till Stig P</t>
  </si>
  <si>
    <t>Uttag till handkassa</t>
  </si>
  <si>
    <t>Prelskatt + arb givaravgift</t>
  </si>
  <si>
    <t>Porto 280 kr; kuvert o porto 1220 kr; bläckpatron, papper 388 kr; frimärken 140 kr; porto 390 kr</t>
  </si>
  <si>
    <t>300 kr förråd; presentkort klipphjälp 250 kr; trall till lagn brevlådor 117 kr; bensin 617 kr; 40 tim mars-juni StP; bensin 616,50 kr; soppåsar 70 kr; 25,5 tim jun-aug StP; utökad sophämtning 234 kr; skyltar till sopkorgar 149 kr;SP ers 13 tim +vinterstakning 4620 kr; hyra borr för vinterstakning 797 kr; sophämtning 1700 kr; bensin 617 kr; vimpel+sopsäckar+sexkantnät 866 kr</t>
  </si>
  <si>
    <t>94,5 tim Stig + vinterstakning</t>
  </si>
  <si>
    <t>pg 2015-04-30</t>
  </si>
  <si>
    <t>I kassan</t>
  </si>
  <si>
    <t>Minus bokningar</t>
  </si>
  <si>
    <t>Material till rep bodar resp ponton</t>
  </si>
  <si>
    <t xml:space="preserve">Tändvätska 70 kr; eldningsdispens 1175 kr; olja o penslar 1390 kr; uppbokad kostnad t medlemmar 13800 kr; uppbokad kostnad för korvgrillning 1969 kr; </t>
  </si>
  <si>
    <t>För 2 mån.</t>
  </si>
  <si>
    <t>4 pumptermos 601 kr; uppbokad kostnad för reparation av bodar och ponton 870 kr;</t>
  </si>
  <si>
    <t xml:space="preserve"> = 18000-19640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</si>
</sst>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&quot;kr&quot;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omic Sans MS"/>
      <family val="4"/>
    </font>
    <font>
      <b/>
      <sz val="8"/>
      <color theme="1"/>
      <name val="Comic Sans MS"/>
      <family val="4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0"/>
      <color rgb="FFC00000"/>
      <name val="Arial"/>
      <family val="2"/>
    </font>
    <font>
      <b/>
      <u/>
      <sz val="10"/>
      <color theme="1"/>
      <name val="Arial"/>
      <family val="2"/>
    </font>
    <font>
      <u/>
      <sz val="10"/>
      <color theme="1"/>
      <name val="Arial"/>
      <family val="2"/>
    </font>
    <font>
      <b/>
      <sz val="14"/>
      <color theme="1"/>
      <name val="Comic Sans MS"/>
      <family val="4"/>
    </font>
    <font>
      <sz val="14"/>
      <color theme="1"/>
      <name val="Arial"/>
      <family val="2"/>
    </font>
    <font>
      <i/>
      <sz val="10"/>
      <color theme="1"/>
      <name val="Arial"/>
      <family val="2"/>
    </font>
    <font>
      <b/>
      <i/>
      <u/>
      <sz val="10"/>
      <color theme="1"/>
      <name val="Arial"/>
      <family val="2"/>
    </font>
    <font>
      <i/>
      <u/>
      <sz val="10"/>
      <color theme="1"/>
      <name val="Arial"/>
      <family val="2"/>
    </font>
    <font>
      <sz val="10"/>
      <name val="Arial"/>
      <family val="2"/>
    </font>
    <font>
      <b/>
      <i/>
      <sz val="12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8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6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i/>
      <sz val="8"/>
      <color theme="1"/>
      <name val="Arial"/>
      <family val="2"/>
    </font>
    <font>
      <i/>
      <sz val="9"/>
      <color theme="1"/>
      <name val="Arial"/>
      <family val="2"/>
    </font>
    <font>
      <i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0.14996795556505021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5" fillId="0" borderId="0" applyNumberFormat="0" applyFill="0" applyBorder="0" applyAlignment="0" applyProtection="0"/>
  </cellStyleXfs>
  <cellXfs count="459">
    <xf numFmtId="0" fontId="0" fillId="0" borderId="0" xfId="0"/>
    <xf numFmtId="4" fontId="3" fillId="0" borderId="0" xfId="1" applyNumberFormat="1" applyFont="1" applyAlignment="1">
      <alignment vertical="center"/>
    </xf>
    <xf numFmtId="4" fontId="2" fillId="0" borderId="0" xfId="1" applyNumberFormat="1"/>
    <xf numFmtId="0" fontId="0" fillId="3" borderId="13" xfId="0" applyFill="1" applyBorder="1"/>
    <xf numFmtId="0" fontId="0" fillId="4" borderId="0" xfId="0" applyFill="1"/>
    <xf numFmtId="0" fontId="0" fillId="4" borderId="13" xfId="0" applyFill="1" applyBorder="1"/>
    <xf numFmtId="0" fontId="0" fillId="3" borderId="14" xfId="0" applyFill="1" applyBorder="1"/>
    <xf numFmtId="0" fontId="4" fillId="0" borderId="0" xfId="0" applyFont="1"/>
    <xf numFmtId="0" fontId="0" fillId="5" borderId="1" xfId="0" applyFill="1" applyBorder="1"/>
    <xf numFmtId="0" fontId="0" fillId="5" borderId="5" xfId="0" applyFill="1" applyBorder="1"/>
    <xf numFmtId="0" fontId="0" fillId="2" borderId="1" xfId="0" applyFill="1" applyBorder="1"/>
    <xf numFmtId="0" fontId="0" fillId="2" borderId="5" xfId="0" applyFill="1" applyBorder="1"/>
    <xf numFmtId="0" fontId="0" fillId="4" borderId="16" xfId="0" applyFill="1" applyBorder="1"/>
    <xf numFmtId="0" fontId="0" fillId="4" borderId="14" xfId="0" applyFill="1" applyBorder="1"/>
    <xf numFmtId="0" fontId="0" fillId="4" borderId="17" xfId="0" applyFill="1" applyBorder="1"/>
    <xf numFmtId="0" fontId="0" fillId="4" borderId="18" xfId="0" applyFill="1" applyBorder="1"/>
    <xf numFmtId="0" fontId="4" fillId="4" borderId="19" xfId="0" applyFont="1" applyFill="1" applyBorder="1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4" fontId="0" fillId="0" borderId="0" xfId="0" applyNumberFormat="1"/>
    <xf numFmtId="4" fontId="2" fillId="0" borderId="0" xfId="1" applyNumberFormat="1" applyFont="1" applyAlignment="1">
      <alignment vertical="center"/>
    </xf>
    <xf numFmtId="14" fontId="0" fillId="0" borderId="0" xfId="0" applyNumberFormat="1"/>
    <xf numFmtId="0" fontId="1" fillId="0" borderId="0" xfId="0" applyFont="1"/>
    <xf numFmtId="0" fontId="5" fillId="0" borderId="0" xfId="0" applyFont="1"/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3" fontId="1" fillId="0" borderId="0" xfId="0" applyNumberFormat="1" applyFont="1" applyAlignment="1">
      <alignment horizontal="right"/>
    </xf>
    <xf numFmtId="14" fontId="0" fillId="0" borderId="0" xfId="0" applyNumberFormat="1" applyAlignment="1">
      <alignment horizontal="right"/>
    </xf>
    <xf numFmtId="0" fontId="6" fillId="0" borderId="0" xfId="1" applyFont="1"/>
    <xf numFmtId="0" fontId="2" fillId="0" borderId="0" xfId="1"/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/>
    <xf numFmtId="0" fontId="10" fillId="0" borderId="0" xfId="1" applyFont="1"/>
    <xf numFmtId="4" fontId="11" fillId="0" borderId="0" xfId="1" applyNumberFormat="1" applyFont="1" applyAlignment="1">
      <alignment vertical="center"/>
    </xf>
    <xf numFmtId="4" fontId="3" fillId="0" borderId="0" xfId="1" quotePrefix="1" applyNumberFormat="1" applyFont="1" applyAlignment="1">
      <alignment vertical="center"/>
    </xf>
    <xf numFmtId="4" fontId="11" fillId="0" borderId="0" xfId="1" applyNumberFormat="1" applyFont="1"/>
    <xf numFmtId="0" fontId="3" fillId="8" borderId="0" xfId="1" applyFont="1" applyFill="1" applyAlignment="1">
      <alignment vertical="center"/>
    </xf>
    <xf numFmtId="0" fontId="2" fillId="8" borderId="0" xfId="1" applyFill="1"/>
    <xf numFmtId="0" fontId="13" fillId="0" borderId="0" xfId="1" applyFont="1"/>
    <xf numFmtId="0" fontId="14" fillId="0" borderId="0" xfId="1" applyFont="1"/>
    <xf numFmtId="0" fontId="11" fillId="7" borderId="1" xfId="1" applyFont="1" applyFill="1" applyBorder="1"/>
    <xf numFmtId="0" fontId="11" fillId="9" borderId="1" xfId="1" applyFont="1" applyFill="1" applyBorder="1" applyAlignment="1">
      <alignment wrapText="1"/>
    </xf>
    <xf numFmtId="4" fontId="3" fillId="0" borderId="9" xfId="1" applyNumberFormat="1" applyFont="1" applyBorder="1" applyAlignment="1">
      <alignment vertical="center"/>
    </xf>
    <xf numFmtId="0" fontId="2" fillId="0" borderId="29" xfId="1" applyBorder="1"/>
    <xf numFmtId="0" fontId="12" fillId="0" borderId="30" xfId="1" applyFont="1" applyBorder="1" applyAlignment="1">
      <alignment horizontal="center"/>
    </xf>
    <xf numFmtId="0" fontId="12" fillId="0" borderId="29" xfId="1" applyFont="1" applyBorder="1" applyAlignment="1">
      <alignment horizontal="center"/>
    </xf>
    <xf numFmtId="0" fontId="12" fillId="0" borderId="23" xfId="1" applyFont="1" applyBorder="1"/>
    <xf numFmtId="0" fontId="9" fillId="0" borderId="1" xfId="1" applyFont="1" applyBorder="1"/>
    <xf numFmtId="4" fontId="2" fillId="0" borderId="10" xfId="1" applyNumberFormat="1" applyFont="1" applyBorder="1"/>
    <xf numFmtId="0" fontId="2" fillId="0" borderId="10" xfId="1" applyBorder="1"/>
    <xf numFmtId="4" fontId="12" fillId="0" borderId="10" xfId="1" applyNumberFormat="1" applyFont="1" applyBorder="1"/>
    <xf numFmtId="0" fontId="9" fillId="0" borderId="9" xfId="1" applyFont="1" applyBorder="1"/>
    <xf numFmtId="4" fontId="11" fillId="0" borderId="31" xfId="1" applyNumberFormat="1" applyFont="1" applyBorder="1" applyAlignment="1">
      <alignment vertical="center"/>
    </xf>
    <xf numFmtId="4" fontId="15" fillId="0" borderId="0" xfId="1" applyNumberFormat="1" applyFont="1"/>
    <xf numFmtId="4" fontId="16" fillId="0" borderId="0" xfId="1" applyNumberFormat="1" applyFont="1"/>
    <xf numFmtId="0" fontId="17" fillId="0" borderId="0" xfId="1" applyFont="1"/>
    <xf numFmtId="4" fontId="18" fillId="0" borderId="0" xfId="1" applyNumberFormat="1" applyFont="1" applyAlignment="1">
      <alignment vertical="center"/>
    </xf>
    <xf numFmtId="0" fontId="3" fillId="0" borderId="0" xfId="1" applyFont="1" applyAlignment="1">
      <alignment horizontal="right"/>
    </xf>
    <xf numFmtId="4" fontId="16" fillId="0" borderId="0" xfId="1" applyNumberFormat="1" applyFont="1" applyAlignment="1">
      <alignment vertical="center"/>
    </xf>
    <xf numFmtId="0" fontId="16" fillId="0" borderId="0" xfId="1" applyFont="1"/>
    <xf numFmtId="4" fontId="11" fillId="0" borderId="0" xfId="1" applyNumberFormat="1" applyFont="1" applyBorder="1"/>
    <xf numFmtId="0" fontId="9" fillId="0" borderId="0" xfId="1" applyFont="1" applyBorder="1" applyAlignment="1">
      <alignment wrapText="1"/>
    </xf>
    <xf numFmtId="4" fontId="11" fillId="0" borderId="0" xfId="1" applyNumberFormat="1" applyFont="1" applyBorder="1" applyAlignment="1">
      <alignment vertical="center"/>
    </xf>
    <xf numFmtId="4" fontId="4" fillId="0" borderId="0" xfId="0" applyNumberFormat="1" applyFont="1"/>
    <xf numFmtId="0" fontId="2" fillId="10" borderId="0" xfId="1" applyFill="1"/>
    <xf numFmtId="4" fontId="2" fillId="10" borderId="0" xfId="1" applyNumberFormat="1" applyFill="1"/>
    <xf numFmtId="4" fontId="2" fillId="10" borderId="0" xfId="1" applyNumberFormat="1" applyFont="1" applyFill="1" applyAlignment="1">
      <alignment vertical="center"/>
    </xf>
    <xf numFmtId="4" fontId="11" fillId="10" borderId="0" xfId="1" applyNumberFormat="1" applyFont="1" applyFill="1" applyAlignment="1">
      <alignment vertical="center"/>
    </xf>
    <xf numFmtId="4" fontId="3" fillId="10" borderId="0" xfId="1" applyNumberFormat="1" applyFont="1" applyFill="1" applyAlignment="1"/>
    <xf numFmtId="0" fontId="11" fillId="0" borderId="0" xfId="1" applyFont="1" applyAlignment="1"/>
    <xf numFmtId="0" fontId="11" fillId="0" borderId="32" xfId="1" applyFont="1" applyBorder="1" applyAlignment="1">
      <alignment vertical="center" wrapText="1"/>
    </xf>
    <xf numFmtId="0" fontId="3" fillId="10" borderId="32" xfId="1" applyFont="1" applyFill="1" applyBorder="1" applyAlignment="1">
      <alignment horizontal="right" wrapText="1"/>
    </xf>
    <xf numFmtId="0" fontId="2" fillId="0" borderId="33" xfId="1" applyBorder="1"/>
    <xf numFmtId="0" fontId="3" fillId="10" borderId="33" xfId="1" applyFont="1" applyFill="1" applyBorder="1" applyAlignment="1">
      <alignment horizontal="right" wrapText="1"/>
    </xf>
    <xf numFmtId="4" fontId="2" fillId="0" borderId="11" xfId="1" applyNumberFormat="1" applyFont="1" applyBorder="1" applyAlignment="1">
      <alignment vertical="center"/>
    </xf>
    <xf numFmtId="4" fontId="3" fillId="0" borderId="11" xfId="1" applyNumberFormat="1" applyFont="1" applyBorder="1" applyAlignment="1">
      <alignment vertical="center"/>
    </xf>
    <xf numFmtId="0" fontId="3" fillId="10" borderId="23" xfId="1" applyFont="1" applyFill="1" applyBorder="1" applyAlignment="1">
      <alignment horizontal="center" wrapText="1"/>
    </xf>
    <xf numFmtId="17" fontId="3" fillId="10" borderId="4" xfId="1" applyNumberFormat="1" applyFont="1" applyFill="1" applyBorder="1" applyAlignment="1">
      <alignment horizontal="center" wrapText="1"/>
    </xf>
    <xf numFmtId="0" fontId="3" fillId="11" borderId="23" xfId="1" applyFont="1" applyFill="1" applyBorder="1" applyAlignment="1">
      <alignment horizontal="center" wrapText="1"/>
    </xf>
    <xf numFmtId="4" fontId="2" fillId="11" borderId="5" xfId="1" applyNumberFormat="1" applyFill="1" applyBorder="1" applyAlignment="1">
      <alignment wrapText="1"/>
    </xf>
    <xf numFmtId="4" fontId="11" fillId="11" borderId="8" xfId="1" applyNumberFormat="1" applyFont="1" applyFill="1" applyBorder="1" applyAlignment="1">
      <alignment wrapText="1"/>
    </xf>
    <xf numFmtId="0" fontId="3" fillId="11" borderId="26" xfId="1" applyFont="1" applyFill="1" applyBorder="1" applyAlignment="1">
      <alignment horizontal="center" wrapText="1"/>
    </xf>
    <xf numFmtId="4" fontId="2" fillId="11" borderId="5" xfId="1" applyNumberFormat="1" applyFill="1" applyBorder="1"/>
    <xf numFmtId="4" fontId="11" fillId="11" borderId="8" xfId="1" applyNumberFormat="1" applyFont="1" applyFill="1" applyBorder="1" applyAlignment="1">
      <alignment vertical="center"/>
    </xf>
    <xf numFmtId="4" fontId="2" fillId="2" borderId="5" xfId="1" applyNumberFormat="1" applyFill="1" applyBorder="1" applyAlignment="1">
      <alignment wrapText="1"/>
    </xf>
    <xf numFmtId="4" fontId="2" fillId="2" borderId="7" xfId="1" applyNumberFormat="1" applyFill="1" applyBorder="1" applyAlignment="1">
      <alignment wrapText="1"/>
    </xf>
    <xf numFmtId="4" fontId="11" fillId="2" borderId="8" xfId="1" applyNumberFormat="1" applyFont="1" applyFill="1" applyBorder="1" applyAlignment="1">
      <alignment wrapText="1"/>
    </xf>
    <xf numFmtId="4" fontId="11" fillId="2" borderId="4" xfId="1" applyNumberFormat="1" applyFont="1" applyFill="1" applyBorder="1" applyAlignment="1">
      <alignment vertical="center" wrapText="1"/>
    </xf>
    <xf numFmtId="0" fontId="3" fillId="2" borderId="26" xfId="1" applyFont="1" applyFill="1" applyBorder="1" applyAlignment="1">
      <alignment horizontal="center" wrapText="1"/>
    </xf>
    <xf numFmtId="0" fontId="3" fillId="2" borderId="27" xfId="1" applyFont="1" applyFill="1" applyBorder="1" applyAlignment="1">
      <alignment wrapText="1"/>
    </xf>
    <xf numFmtId="0" fontId="2" fillId="2" borderId="28" xfId="1" applyFont="1" applyFill="1" applyBorder="1" applyAlignment="1">
      <alignment wrapText="1"/>
    </xf>
    <xf numFmtId="17" fontId="3" fillId="2" borderId="4" xfId="1" applyNumberFormat="1" applyFont="1" applyFill="1" applyBorder="1" applyAlignment="1">
      <alignment horizontal="center" wrapText="1"/>
    </xf>
    <xf numFmtId="4" fontId="2" fillId="2" borderId="5" xfId="1" applyNumberFormat="1" applyFill="1" applyBorder="1"/>
    <xf numFmtId="4" fontId="2" fillId="2" borderId="4" xfId="1" applyNumberFormat="1" applyFill="1" applyBorder="1"/>
    <xf numFmtId="4" fontId="11" fillId="2" borderId="8" xfId="1" applyNumberFormat="1" applyFont="1" applyFill="1" applyBorder="1" applyAlignment="1">
      <alignment vertical="center"/>
    </xf>
    <xf numFmtId="4" fontId="11" fillId="2" borderId="25" xfId="1" applyNumberFormat="1" applyFont="1" applyFill="1" applyBorder="1" applyAlignment="1">
      <alignment vertical="center"/>
    </xf>
    <xf numFmtId="0" fontId="2" fillId="0" borderId="0" xfId="1" applyAlignment="1">
      <alignment wrapText="1"/>
    </xf>
    <xf numFmtId="0" fontId="19" fillId="0" borderId="36" xfId="1" applyFont="1" applyBorder="1" applyAlignment="1">
      <alignment wrapText="1"/>
    </xf>
    <xf numFmtId="0" fontId="20" fillId="0" borderId="37" xfId="1" applyFont="1" applyBorder="1" applyAlignment="1">
      <alignment wrapText="1"/>
    </xf>
    <xf numFmtId="0" fontId="20" fillId="0" borderId="37" xfId="1" applyFont="1" applyBorder="1" applyAlignment="1">
      <alignment horizontal="center" wrapText="1"/>
    </xf>
    <xf numFmtId="0" fontId="21" fillId="0" borderId="37" xfId="1" applyFont="1" applyBorder="1" applyAlignment="1">
      <alignment wrapText="1"/>
    </xf>
    <xf numFmtId="0" fontId="21" fillId="0" borderId="35" xfId="1" applyFont="1" applyBorder="1" applyAlignment="1">
      <alignment wrapText="1"/>
    </xf>
    <xf numFmtId="4" fontId="15" fillId="0" borderId="40" xfId="1" applyNumberFormat="1" applyFont="1" applyBorder="1" applyAlignment="1">
      <alignment horizontal="right"/>
    </xf>
    <xf numFmtId="4" fontId="15" fillId="0" borderId="40" xfId="1" applyNumberFormat="1" applyFont="1" applyBorder="1"/>
    <xf numFmtId="10" fontId="15" fillId="0" borderId="40" xfId="1" applyNumberFormat="1" applyFont="1" applyFill="1" applyBorder="1" applyAlignment="1">
      <alignment horizontal="center"/>
    </xf>
    <xf numFmtId="4" fontId="15" fillId="0" borderId="41" xfId="1" applyNumberFormat="1" applyFont="1" applyBorder="1" applyAlignment="1">
      <alignment horizontal="right"/>
    </xf>
    <xf numFmtId="4" fontId="15" fillId="0" borderId="28" xfId="1" applyNumberFormat="1" applyFont="1" applyBorder="1" applyAlignment="1">
      <alignment horizontal="right"/>
    </xf>
    <xf numFmtId="4" fontId="15" fillId="0" borderId="11" xfId="1" applyNumberFormat="1" applyFont="1" applyBorder="1" applyAlignment="1">
      <alignment horizontal="right"/>
    </xf>
    <xf numFmtId="4" fontId="15" fillId="0" borderId="11" xfId="1" applyNumberFormat="1" applyFont="1" applyBorder="1"/>
    <xf numFmtId="10" fontId="15" fillId="0" borderId="11" xfId="1" applyNumberFormat="1" applyFont="1" applyBorder="1" applyAlignment="1">
      <alignment horizontal="center"/>
    </xf>
    <xf numFmtId="0" fontId="15" fillId="0" borderId="1" xfId="1" applyFont="1" applyFill="1" applyBorder="1"/>
    <xf numFmtId="4" fontId="15" fillId="0" borderId="40" xfId="1" applyNumberFormat="1" applyFont="1" applyBorder="1" applyAlignment="1">
      <alignment horizontal="center"/>
    </xf>
    <xf numFmtId="4" fontId="15" fillId="0" borderId="11" xfId="1" applyNumberFormat="1" applyFont="1" applyBorder="1" applyAlignment="1">
      <alignment horizontal="center"/>
    </xf>
    <xf numFmtId="0" fontId="20" fillId="0" borderId="42" xfId="1" applyFont="1" applyBorder="1"/>
    <xf numFmtId="4" fontId="20" fillId="0" borderId="43" xfId="1" applyNumberFormat="1" applyFont="1" applyBorder="1" applyAlignment="1">
      <alignment horizontal="center"/>
    </xf>
    <xf numFmtId="4" fontId="20" fillId="0" borderId="43" xfId="1" applyNumberFormat="1" applyFont="1" applyBorder="1"/>
    <xf numFmtId="4" fontId="20" fillId="0" borderId="44" xfId="1" applyNumberFormat="1" applyFont="1" applyBorder="1" applyAlignment="1">
      <alignment horizontal="center"/>
    </xf>
    <xf numFmtId="3" fontId="20" fillId="0" borderId="43" xfId="1" applyNumberFormat="1" applyFont="1" applyBorder="1" applyAlignment="1">
      <alignment horizontal="center"/>
    </xf>
    <xf numFmtId="4" fontId="20" fillId="0" borderId="37" xfId="1" applyNumberFormat="1" applyFont="1" applyBorder="1" applyAlignment="1">
      <alignment horizontal="right"/>
    </xf>
    <xf numFmtId="4" fontId="20" fillId="0" borderId="45" xfId="1" applyNumberFormat="1" applyFont="1" applyBorder="1" applyAlignment="1">
      <alignment horizontal="center"/>
    </xf>
    <xf numFmtId="0" fontId="20" fillId="0" borderId="15" xfId="1" applyFont="1" applyBorder="1"/>
    <xf numFmtId="4" fontId="20" fillId="0" borderId="21" xfId="1" applyNumberFormat="1" applyFont="1" applyBorder="1" applyAlignment="1">
      <alignment horizontal="center"/>
    </xf>
    <xf numFmtId="4" fontId="20" fillId="0" borderId="21" xfId="1" applyNumberFormat="1" applyFont="1" applyBorder="1"/>
    <xf numFmtId="3" fontId="20" fillId="0" borderId="21" xfId="1" applyNumberFormat="1" applyFont="1" applyBorder="1" applyAlignment="1">
      <alignment horizontal="center"/>
    </xf>
    <xf numFmtId="4" fontId="20" fillId="0" borderId="21" xfId="1" applyNumberFormat="1" applyFont="1" applyBorder="1" applyAlignment="1">
      <alignment horizontal="right"/>
    </xf>
    <xf numFmtId="4" fontId="20" fillId="0" borderId="0" xfId="1" applyNumberFormat="1" applyFont="1" applyBorder="1" applyAlignment="1">
      <alignment horizontal="center"/>
    </xf>
    <xf numFmtId="4" fontId="20" fillId="0" borderId="0" xfId="1" applyNumberFormat="1" applyFont="1" applyBorder="1"/>
    <xf numFmtId="3" fontId="20" fillId="0" borderId="0" xfId="1" applyNumberFormat="1" applyFont="1" applyBorder="1" applyAlignment="1">
      <alignment horizontal="center"/>
    </xf>
    <xf numFmtId="4" fontId="20" fillId="0" borderId="0" xfId="1" applyNumberFormat="1" applyFont="1" applyBorder="1" applyAlignment="1">
      <alignment horizontal="right"/>
    </xf>
    <xf numFmtId="0" fontId="20" fillId="0" borderId="0" xfId="1" applyFont="1" applyBorder="1"/>
    <xf numFmtId="0" fontId="20" fillId="0" borderId="46" xfId="1" applyFont="1" applyBorder="1"/>
    <xf numFmtId="0" fontId="20" fillId="0" borderId="47" xfId="1" applyFont="1" applyBorder="1" applyAlignment="1">
      <alignment horizontal="center"/>
    </xf>
    <xf numFmtId="0" fontId="20" fillId="0" borderId="47" xfId="1" applyFont="1" applyBorder="1"/>
    <xf numFmtId="4" fontId="20" fillId="0" borderId="47" xfId="1" applyNumberFormat="1" applyFont="1" applyBorder="1"/>
    <xf numFmtId="0" fontId="20" fillId="0" borderId="29" xfId="1" applyFont="1" applyBorder="1"/>
    <xf numFmtId="4" fontId="20" fillId="0" borderId="48" xfId="1" applyNumberFormat="1" applyFont="1" applyBorder="1"/>
    <xf numFmtId="0" fontId="15" fillId="0" borderId="48" xfId="1" applyFont="1" applyBorder="1"/>
    <xf numFmtId="0" fontId="15" fillId="0" borderId="23" xfId="1" applyFont="1" applyBorder="1"/>
    <xf numFmtId="0" fontId="20" fillId="0" borderId="1" xfId="1" applyFont="1" applyBorder="1"/>
    <xf numFmtId="4" fontId="20" fillId="0" borderId="11" xfId="1" applyNumberFormat="1" applyFont="1" applyBorder="1"/>
    <xf numFmtId="0" fontId="15" fillId="0" borderId="11" xfId="1" applyFont="1" applyBorder="1"/>
    <xf numFmtId="0" fontId="15" fillId="0" borderId="5" xfId="1" applyFont="1" applyBorder="1"/>
    <xf numFmtId="4" fontId="20" fillId="0" borderId="9" xfId="1" applyNumberFormat="1" applyFont="1" applyBorder="1"/>
    <xf numFmtId="4" fontId="20" fillId="0" borderId="49" xfId="1" applyNumberFormat="1" applyFont="1" applyBorder="1"/>
    <xf numFmtId="0" fontId="15" fillId="0" borderId="49" xfId="1" applyFont="1" applyBorder="1"/>
    <xf numFmtId="4" fontId="15" fillId="0" borderId="49" xfId="1" applyNumberFormat="1" applyFont="1" applyBorder="1"/>
    <xf numFmtId="0" fontId="15" fillId="0" borderId="8" xfId="1" applyFont="1" applyBorder="1"/>
    <xf numFmtId="0" fontId="2" fillId="0" borderId="0" xfId="1" applyAlignment="1">
      <alignment horizontal="center"/>
    </xf>
    <xf numFmtId="0" fontId="2" fillId="0" borderId="0" xfId="1" applyAlignment="1">
      <alignment horizontal="right"/>
    </xf>
    <xf numFmtId="0" fontId="22" fillId="0" borderId="0" xfId="0" applyFont="1"/>
    <xf numFmtId="0" fontId="23" fillId="0" borderId="0" xfId="0" applyFont="1"/>
    <xf numFmtId="0" fontId="14" fillId="0" borderId="0" xfId="0" applyFont="1"/>
    <xf numFmtId="3" fontId="23" fillId="0" borderId="0" xfId="0" applyNumberFormat="1" applyFont="1"/>
    <xf numFmtId="10" fontId="23" fillId="0" borderId="0" xfId="0" applyNumberFormat="1" applyFont="1"/>
    <xf numFmtId="4" fontId="23" fillId="0" borderId="0" xfId="0" applyNumberFormat="1" applyFont="1"/>
    <xf numFmtId="9" fontId="23" fillId="0" borderId="0" xfId="0" applyNumberFormat="1" applyFont="1"/>
    <xf numFmtId="0" fontId="26" fillId="0" borderId="0" xfId="0" applyFont="1"/>
    <xf numFmtId="0" fontId="26" fillId="0" borderId="51" xfId="0" applyFont="1" applyBorder="1"/>
    <xf numFmtId="20" fontId="23" fillId="0" borderId="0" xfId="0" applyNumberFormat="1" applyFont="1"/>
    <xf numFmtId="49" fontId="25" fillId="0" borderId="0" xfId="0" applyNumberFormat="1" applyFont="1" applyAlignment="1">
      <alignment horizontal="center"/>
    </xf>
    <xf numFmtId="49" fontId="23" fillId="0" borderId="0" xfId="0" applyNumberFormat="1" applyFont="1" applyAlignment="1">
      <alignment horizontal="center"/>
    </xf>
    <xf numFmtId="49" fontId="26" fillId="0" borderId="51" xfId="0" applyNumberFormat="1" applyFont="1" applyBorder="1" applyAlignment="1">
      <alignment horizontal="center"/>
    </xf>
    <xf numFmtId="0" fontId="25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6" fillId="0" borderId="51" xfId="0" applyFont="1" applyBorder="1" applyAlignment="1">
      <alignment horizontal="left"/>
    </xf>
    <xf numFmtId="0" fontId="23" fillId="0" borderId="0" xfId="0" applyFont="1" applyAlignment="1">
      <alignment horizontal="right"/>
    </xf>
    <xf numFmtId="0" fontId="26" fillId="0" borderId="51" xfId="0" applyFont="1" applyBorder="1" applyAlignment="1">
      <alignment horizontal="right"/>
    </xf>
    <xf numFmtId="0" fontId="23" fillId="6" borderId="0" xfId="0" applyFont="1" applyFill="1" applyAlignment="1">
      <alignment horizontal="right"/>
    </xf>
    <xf numFmtId="3" fontId="23" fillId="0" borderId="0" xfId="0" applyNumberFormat="1" applyFont="1" applyAlignment="1">
      <alignment horizontal="right"/>
    </xf>
    <xf numFmtId="3" fontId="26" fillId="0" borderId="51" xfId="0" applyNumberFormat="1" applyFont="1" applyBorder="1" applyAlignment="1">
      <alignment horizontal="right"/>
    </xf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  <xf numFmtId="0" fontId="8" fillId="0" borderId="0" xfId="0" applyFont="1"/>
    <xf numFmtId="4" fontId="2" fillId="0" borderId="1" xfId="1" applyNumberFormat="1" applyFill="1" applyBorder="1"/>
    <xf numFmtId="0" fontId="9" fillId="0" borderId="5" xfId="1" applyFont="1" applyFill="1" applyBorder="1"/>
    <xf numFmtId="4" fontId="12" fillId="0" borderId="1" xfId="1" applyNumberFormat="1" applyFont="1" applyFill="1" applyBorder="1"/>
    <xf numFmtId="0" fontId="9" fillId="0" borderId="5" xfId="1" applyFont="1" applyFill="1" applyBorder="1" applyAlignment="1">
      <alignment horizontal="left"/>
    </xf>
    <xf numFmtId="4" fontId="11" fillId="0" borderId="9" xfId="1" applyNumberFormat="1" applyFont="1" applyFill="1" applyBorder="1"/>
    <xf numFmtId="0" fontId="9" fillId="0" borderId="8" xfId="1" applyFont="1" applyFill="1" applyBorder="1" applyAlignment="1">
      <alignment horizontal="left"/>
    </xf>
    <xf numFmtId="3" fontId="23" fillId="10" borderId="0" xfId="0" applyNumberFormat="1" applyFont="1" applyFill="1"/>
    <xf numFmtId="0" fontId="26" fillId="10" borderId="0" xfId="0" applyFont="1" applyFill="1"/>
    <xf numFmtId="3" fontId="26" fillId="10" borderId="0" xfId="0" applyNumberFormat="1" applyFont="1" applyFill="1"/>
    <xf numFmtId="0" fontId="0" fillId="0" borderId="0" xfId="0" applyBorder="1"/>
    <xf numFmtId="4" fontId="2" fillId="0" borderId="0" xfId="1" applyNumberFormat="1" applyFont="1" applyBorder="1" applyAlignment="1">
      <alignment vertical="center"/>
    </xf>
    <xf numFmtId="0" fontId="23" fillId="0" borderId="0" xfId="0" applyFont="1" applyFill="1"/>
    <xf numFmtId="0" fontId="23" fillId="0" borderId="0" xfId="0" applyFont="1" applyFill="1" applyAlignment="1">
      <alignment horizontal="right"/>
    </xf>
    <xf numFmtId="0" fontId="0" fillId="4" borderId="33" xfId="0" applyFill="1" applyBorder="1"/>
    <xf numFmtId="0" fontId="0" fillId="0" borderId="33" xfId="0" applyBorder="1"/>
    <xf numFmtId="0" fontId="0" fillId="0" borderId="14" xfId="0" applyBorder="1"/>
    <xf numFmtId="49" fontId="23" fillId="0" borderId="0" xfId="0" applyNumberFormat="1" applyFont="1" applyBorder="1" applyAlignment="1">
      <alignment horizontal="center"/>
    </xf>
    <xf numFmtId="0" fontId="9" fillId="0" borderId="0" xfId="0" applyFont="1" applyBorder="1" applyAlignment="1">
      <alignment horizontal="right"/>
    </xf>
    <xf numFmtId="0" fontId="0" fillId="0" borderId="19" xfId="0" applyBorder="1"/>
    <xf numFmtId="0" fontId="23" fillId="0" borderId="53" xfId="0" applyFont="1" applyBorder="1" applyAlignment="1">
      <alignment horizontal="left"/>
    </xf>
    <xf numFmtId="0" fontId="23" fillId="6" borderId="0" xfId="0" applyFont="1" applyFill="1" applyBorder="1"/>
    <xf numFmtId="0" fontId="27" fillId="0" borderId="0" xfId="0" applyFont="1"/>
    <xf numFmtId="20" fontId="23" fillId="0" borderId="0" xfId="0" applyNumberFormat="1" applyFont="1" applyBorder="1"/>
    <xf numFmtId="0" fontId="0" fillId="0" borderId="41" xfId="0" applyBorder="1"/>
    <xf numFmtId="0" fontId="0" fillId="0" borderId="54" xfId="0" applyBorder="1"/>
    <xf numFmtId="0" fontId="27" fillId="0" borderId="54" xfId="0" applyFont="1" applyBorder="1"/>
    <xf numFmtId="3" fontId="23" fillId="12" borderId="0" xfId="0" applyNumberFormat="1" applyFont="1" applyFill="1"/>
    <xf numFmtId="0" fontId="24" fillId="0" borderId="51" xfId="0" applyFont="1" applyBorder="1"/>
    <xf numFmtId="0" fontId="24" fillId="0" borderId="51" xfId="0" applyFont="1" applyBorder="1" applyAlignment="1">
      <alignment horizontal="right" wrapText="1"/>
    </xf>
    <xf numFmtId="0" fontId="1" fillId="0" borderId="0" xfId="0" applyFont="1" applyAlignment="1">
      <alignment horizontal="right" wrapText="1"/>
    </xf>
    <xf numFmtId="0" fontId="0" fillId="10" borderId="0" xfId="0" applyFill="1"/>
    <xf numFmtId="0" fontId="0" fillId="10" borderId="0" xfId="0" applyFill="1" applyAlignment="1">
      <alignment horizontal="right"/>
    </xf>
    <xf numFmtId="0" fontId="1" fillId="10" borderId="0" xfId="0" applyFont="1" applyFill="1"/>
    <xf numFmtId="3" fontId="1" fillId="10" borderId="0" xfId="0" applyNumberFormat="1" applyFont="1" applyFill="1" applyAlignment="1">
      <alignment horizontal="right"/>
    </xf>
    <xf numFmtId="14" fontId="2" fillId="0" borderId="0" xfId="1" applyNumberFormat="1"/>
    <xf numFmtId="16" fontId="2" fillId="0" borderId="0" xfId="1" applyNumberFormat="1"/>
    <xf numFmtId="0" fontId="2" fillId="0" borderId="0" xfId="1" applyFill="1" applyBorder="1"/>
    <xf numFmtId="4" fontId="3" fillId="10" borderId="0" xfId="1" applyNumberFormat="1" applyFont="1" applyFill="1" applyAlignment="1">
      <alignment horizontal="right"/>
    </xf>
    <xf numFmtId="0" fontId="21" fillId="0" borderId="32" xfId="1" applyFont="1" applyBorder="1" applyAlignment="1">
      <alignment wrapText="1"/>
    </xf>
    <xf numFmtId="4" fontId="15" fillId="0" borderId="54" xfId="1" applyNumberFormat="1" applyFont="1" applyBorder="1" applyAlignment="1">
      <alignment horizontal="right"/>
    </xf>
    <xf numFmtId="0" fontId="15" fillId="0" borderId="40" xfId="1" applyFont="1" applyFill="1" applyBorder="1" applyAlignment="1">
      <alignment horizontal="center"/>
    </xf>
    <xf numFmtId="0" fontId="15" fillId="0" borderId="11" xfId="1" applyFont="1" applyFill="1" applyBorder="1" applyAlignment="1">
      <alignment horizontal="center"/>
    </xf>
    <xf numFmtId="0" fontId="15" fillId="0" borderId="0" xfId="1" applyFont="1" applyBorder="1"/>
    <xf numFmtId="0" fontId="20" fillId="0" borderId="0" xfId="1" applyFont="1" applyBorder="1" applyAlignment="1">
      <alignment horizontal="center"/>
    </xf>
    <xf numFmtId="0" fontId="2" fillId="0" borderId="0" xfId="1" applyBorder="1"/>
    <xf numFmtId="0" fontId="20" fillId="0" borderId="17" xfId="1" applyFont="1" applyBorder="1"/>
    <xf numFmtId="4" fontId="20" fillId="0" borderId="13" xfId="1" applyNumberFormat="1" applyFont="1" applyBorder="1"/>
    <xf numFmtId="0" fontId="15" fillId="0" borderId="13" xfId="1" applyFont="1" applyBorder="1"/>
    <xf numFmtId="4" fontId="15" fillId="0" borderId="13" xfId="1" applyNumberFormat="1" applyFont="1" applyBorder="1"/>
    <xf numFmtId="0" fontId="15" fillId="0" borderId="18" xfId="1" applyFont="1" applyBorder="1"/>
    <xf numFmtId="0" fontId="3" fillId="13" borderId="33" xfId="1" applyFont="1" applyFill="1" applyBorder="1" applyAlignment="1">
      <alignment horizontal="right" wrapText="1"/>
    </xf>
    <xf numFmtId="0" fontId="3" fillId="13" borderId="32" xfId="1" applyFont="1" applyFill="1" applyBorder="1" applyAlignment="1">
      <alignment horizontal="right" wrapText="1"/>
    </xf>
    <xf numFmtId="4" fontId="3" fillId="13" borderId="0" xfId="1" applyNumberFormat="1" applyFont="1" applyFill="1" applyAlignment="1"/>
    <xf numFmtId="0" fontId="2" fillId="13" borderId="0" xfId="1" applyFill="1"/>
    <xf numFmtId="4" fontId="2" fillId="13" borderId="0" xfId="1" applyNumberFormat="1" applyFill="1"/>
    <xf numFmtId="4" fontId="2" fillId="13" borderId="0" xfId="1" applyNumberFormat="1" applyFont="1" applyFill="1" applyAlignment="1">
      <alignment vertical="center"/>
    </xf>
    <xf numFmtId="4" fontId="11" fillId="13" borderId="0" xfId="1" applyNumberFormat="1" applyFont="1" applyFill="1" applyAlignment="1">
      <alignment vertical="center"/>
    </xf>
    <xf numFmtId="4" fontId="29" fillId="0" borderId="0" xfId="1" applyNumberFormat="1" applyFont="1" applyAlignment="1">
      <alignment horizontal="left" vertical="center" indent="4"/>
    </xf>
    <xf numFmtId="4" fontId="28" fillId="10" borderId="0" xfId="1" applyNumberFormat="1" applyFont="1" applyFill="1"/>
    <xf numFmtId="4" fontId="28" fillId="13" borderId="0" xfId="1" applyNumberFormat="1" applyFont="1" applyFill="1"/>
    <xf numFmtId="4" fontId="28" fillId="10" borderId="0" xfId="1" applyNumberFormat="1" applyFont="1" applyFill="1" applyAlignment="1">
      <alignment vertical="center"/>
    </xf>
    <xf numFmtId="4" fontId="28" fillId="13" borderId="0" xfId="1" applyNumberFormat="1" applyFont="1" applyFill="1" applyAlignment="1">
      <alignment vertical="center"/>
    </xf>
    <xf numFmtId="4" fontId="2" fillId="10" borderId="0" xfId="1" applyNumberFormat="1" applyFont="1" applyFill="1"/>
    <xf numFmtId="4" fontId="2" fillId="13" borderId="0" xfId="1" applyNumberFormat="1" applyFont="1" applyFill="1"/>
    <xf numFmtId="0" fontId="15" fillId="0" borderId="39" xfId="1" applyFont="1" applyFill="1" applyBorder="1"/>
    <xf numFmtId="4" fontId="15" fillId="0" borderId="40" xfId="1" applyNumberFormat="1" applyFont="1" applyFill="1" applyBorder="1" applyAlignment="1">
      <alignment horizontal="right"/>
    </xf>
    <xf numFmtId="4" fontId="15" fillId="0" borderId="40" xfId="1" applyNumberFormat="1" applyFont="1" applyFill="1" applyBorder="1"/>
    <xf numFmtId="4" fontId="15" fillId="0" borderId="11" xfId="1" applyNumberFormat="1" applyFont="1" applyFill="1" applyBorder="1" applyAlignment="1">
      <alignment horizontal="right"/>
    </xf>
    <xf numFmtId="4" fontId="15" fillId="0" borderId="11" xfId="1" applyNumberFormat="1" applyFont="1" applyFill="1" applyBorder="1"/>
    <xf numFmtId="0" fontId="23" fillId="0" borderId="50" xfId="1" applyFont="1" applyFill="1" applyBorder="1"/>
    <xf numFmtId="0" fontId="23" fillId="0" borderId="50" xfId="0" applyFont="1" applyFill="1" applyBorder="1"/>
    <xf numFmtId="4" fontId="23" fillId="0" borderId="50" xfId="0" applyNumberFormat="1" applyFont="1" applyFill="1" applyBorder="1"/>
    <xf numFmtId="10" fontId="23" fillId="0" borderId="50" xfId="0" applyNumberFormat="1" applyFont="1" applyFill="1" applyBorder="1"/>
    <xf numFmtId="3" fontId="23" fillId="0" borderId="50" xfId="0" applyNumberFormat="1" applyFont="1" applyFill="1" applyBorder="1"/>
    <xf numFmtId="0" fontId="9" fillId="0" borderId="0" xfId="0" applyFont="1"/>
    <xf numFmtId="4" fontId="15" fillId="12" borderId="28" xfId="1" applyNumberFormat="1" applyFont="1" applyFill="1" applyBorder="1" applyAlignment="1">
      <alignment horizontal="right"/>
    </xf>
    <xf numFmtId="0" fontId="0" fillId="0" borderId="0" xfId="0" applyFill="1"/>
    <xf numFmtId="0" fontId="23" fillId="0" borderId="0" xfId="1" applyFont="1" applyBorder="1"/>
    <xf numFmtId="0" fontId="23" fillId="12" borderId="0" xfId="0" applyFont="1" applyFill="1"/>
    <xf numFmtId="0" fontId="9" fillId="0" borderId="0" xfId="0" applyFont="1" applyAlignment="1">
      <alignment horizontal="right"/>
    </xf>
    <xf numFmtId="0" fontId="23" fillId="10" borderId="52" xfId="0" applyFont="1" applyFill="1" applyBorder="1"/>
    <xf numFmtId="3" fontId="23" fillId="10" borderId="52" xfId="0" applyNumberFormat="1" applyFont="1" applyFill="1" applyBorder="1"/>
    <xf numFmtId="0" fontId="23" fillId="5" borderId="0" xfId="0" applyFont="1" applyFill="1"/>
    <xf numFmtId="3" fontId="23" fillId="5" borderId="0" xfId="0" applyNumberFormat="1" applyFont="1" applyFill="1"/>
    <xf numFmtId="0" fontId="24" fillId="0" borderId="0" xfId="0" applyFont="1"/>
    <xf numFmtId="3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/>
    </xf>
    <xf numFmtId="3" fontId="23" fillId="0" borderId="0" xfId="0" applyNumberFormat="1" applyFont="1" applyFill="1"/>
    <xf numFmtId="0" fontId="26" fillId="5" borderId="0" xfId="0" applyFont="1" applyFill="1"/>
    <xf numFmtId="3" fontId="26" fillId="5" borderId="0" xfId="0" applyNumberFormat="1" applyFont="1" applyFill="1"/>
    <xf numFmtId="0" fontId="26" fillId="10" borderId="51" xfId="0" applyFont="1" applyFill="1" applyBorder="1"/>
    <xf numFmtId="3" fontId="26" fillId="10" borderId="51" xfId="0" applyNumberFormat="1" applyFont="1" applyFill="1" applyBorder="1"/>
    <xf numFmtId="0" fontId="26" fillId="5" borderId="51" xfId="0" applyFont="1" applyFill="1" applyBorder="1"/>
    <xf numFmtId="3" fontId="26" fillId="5" borderId="51" xfId="0" applyNumberFormat="1" applyFont="1" applyFill="1" applyBorder="1"/>
    <xf numFmtId="0" fontId="30" fillId="0" borderId="0" xfId="0" applyFont="1"/>
    <xf numFmtId="49" fontId="23" fillId="0" borderId="0" xfId="0" applyNumberFormat="1" applyFont="1" applyFill="1" applyAlignment="1">
      <alignment horizontal="center"/>
    </xf>
    <xf numFmtId="14" fontId="23" fillId="0" borderId="0" xfId="0" applyNumberFormat="1" applyFont="1" applyFill="1"/>
    <xf numFmtId="20" fontId="23" fillId="0" borderId="0" xfId="0" applyNumberFormat="1" applyFont="1" applyFill="1"/>
    <xf numFmtId="0" fontId="26" fillId="0" borderId="51" xfId="0" applyFont="1" applyFill="1" applyBorder="1" applyAlignment="1">
      <alignment horizontal="right"/>
    </xf>
    <xf numFmtId="4" fontId="2" fillId="0" borderId="0" xfId="1" applyNumberFormat="1" applyFont="1" applyBorder="1"/>
    <xf numFmtId="4" fontId="3" fillId="0" borderId="0" xfId="1" applyNumberFormat="1" applyFont="1" applyBorder="1"/>
    <xf numFmtId="4" fontId="2" fillId="4" borderId="0" xfId="1" applyNumberFormat="1" applyFill="1"/>
    <xf numFmtId="4" fontId="3" fillId="10" borderId="0" xfId="1" applyNumberFormat="1" applyFont="1" applyFill="1"/>
    <xf numFmtId="4" fontId="3" fillId="13" borderId="0" xfId="1" applyNumberFormat="1" applyFont="1" applyFill="1"/>
    <xf numFmtId="4" fontId="2" fillId="10" borderId="50" xfId="1" applyNumberFormat="1" applyFill="1" applyBorder="1"/>
    <xf numFmtId="4" fontId="2" fillId="13" borderId="50" xfId="1" applyNumberFormat="1" applyFill="1" applyBorder="1"/>
    <xf numFmtId="0" fontId="15" fillId="0" borderId="0" xfId="1" applyFont="1" applyAlignment="1">
      <alignment horizontal="right"/>
    </xf>
    <xf numFmtId="4" fontId="2" fillId="5" borderId="0" xfId="1" applyNumberFormat="1" applyFill="1"/>
    <xf numFmtId="4" fontId="2" fillId="5" borderId="0" xfId="1" applyNumberFormat="1" applyFont="1" applyFill="1" applyBorder="1"/>
    <xf numFmtId="4" fontId="2" fillId="5" borderId="50" xfId="1" applyNumberFormat="1" applyFont="1" applyFill="1" applyBorder="1"/>
    <xf numFmtId="4" fontId="3" fillId="5" borderId="0" xfId="1" applyNumberFormat="1" applyFont="1" applyFill="1" applyBorder="1"/>
    <xf numFmtId="0" fontId="11" fillId="4" borderId="0" xfId="1" applyFont="1" applyFill="1" applyAlignment="1">
      <alignment horizontal="right" wrapText="1"/>
    </xf>
    <xf numFmtId="4" fontId="2" fillId="4" borderId="50" xfId="1" applyNumberFormat="1" applyFont="1" applyFill="1" applyBorder="1"/>
    <xf numFmtId="4" fontId="3" fillId="4" borderId="0" xfId="1" applyNumberFormat="1" applyFont="1" applyFill="1" applyBorder="1"/>
    <xf numFmtId="4" fontId="15" fillId="0" borderId="28" xfId="1" applyNumberFormat="1" applyFont="1" applyFill="1" applyBorder="1" applyAlignment="1">
      <alignment horizontal="right"/>
    </xf>
    <xf numFmtId="0" fontId="15" fillId="5" borderId="40" xfId="1" applyFont="1" applyFill="1" applyBorder="1" applyAlignment="1">
      <alignment horizontal="center"/>
    </xf>
    <xf numFmtId="0" fontId="15" fillId="5" borderId="11" xfId="1" applyFont="1" applyFill="1" applyBorder="1" applyAlignment="1">
      <alignment horizontal="center"/>
    </xf>
    <xf numFmtId="4" fontId="2" fillId="0" borderId="0" xfId="1" applyNumberFormat="1" applyFill="1" applyBorder="1"/>
    <xf numFmtId="0" fontId="29" fillId="0" borderId="0" xfId="1" applyFont="1" applyFill="1" applyBorder="1"/>
    <xf numFmtId="3" fontId="29" fillId="0" borderId="0" xfId="1" applyNumberFormat="1" applyFont="1" applyFill="1" applyBorder="1" applyAlignment="1"/>
    <xf numFmtId="3" fontId="2" fillId="0" borderId="0" xfId="1" applyNumberFormat="1" applyFill="1" applyBorder="1"/>
    <xf numFmtId="4" fontId="20" fillId="0" borderId="45" xfId="1" applyNumberFormat="1" applyFont="1" applyBorder="1" applyAlignment="1"/>
    <xf numFmtId="0" fontId="0" fillId="10" borderId="55" xfId="0" applyFill="1" applyBorder="1"/>
    <xf numFmtId="3" fontId="26" fillId="10" borderId="52" xfId="0" applyNumberFormat="1" applyFont="1" applyFill="1" applyBorder="1"/>
    <xf numFmtId="0" fontId="32" fillId="0" borderId="0" xfId="0" applyFont="1"/>
    <xf numFmtId="3" fontId="9" fillId="0" borderId="0" xfId="0" applyNumberFormat="1" applyFont="1"/>
    <xf numFmtId="0" fontId="32" fillId="0" borderId="51" xfId="0" applyFont="1" applyBorder="1"/>
    <xf numFmtId="0" fontId="9" fillId="0" borderId="0" xfId="0" applyFont="1" applyAlignment="1">
      <alignment horizontal="left"/>
    </xf>
    <xf numFmtId="0" fontId="9" fillId="0" borderId="0" xfId="0" applyFont="1" applyFill="1"/>
    <xf numFmtId="0" fontId="0" fillId="0" borderId="0" xfId="0" applyFill="1" applyBorder="1"/>
    <xf numFmtId="0" fontId="0" fillId="0" borderId="0" xfId="0" applyFill="1" applyBorder="1" applyAlignment="1">
      <alignment horizontal="left"/>
    </xf>
    <xf numFmtId="3" fontId="4" fillId="0" borderId="0" xfId="0" applyNumberFormat="1" applyFont="1" applyFill="1" applyBorder="1"/>
    <xf numFmtId="0" fontId="2" fillId="0" borderId="0" xfId="0" applyFont="1" applyFill="1" applyAlignment="1">
      <alignment horizontal="right"/>
    </xf>
    <xf numFmtId="4" fontId="0" fillId="10" borderId="0" xfId="0" applyNumberFormat="1" applyFill="1"/>
    <xf numFmtId="4" fontId="0" fillId="5" borderId="0" xfId="0" applyNumberFormat="1" applyFill="1"/>
    <xf numFmtId="3" fontId="23" fillId="12" borderId="50" xfId="0" applyNumberFormat="1" applyFont="1" applyFill="1" applyBorder="1"/>
    <xf numFmtId="0" fontId="23" fillId="12" borderId="50" xfId="0" applyFont="1" applyFill="1" applyBorder="1"/>
    <xf numFmtId="0" fontId="35" fillId="0" borderId="0" xfId="2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14" fontId="0" fillId="10" borderId="0" xfId="0" applyNumberFormat="1" applyFill="1" applyAlignment="1">
      <alignment vertical="center" wrapText="1"/>
    </xf>
    <xf numFmtId="0" fontId="0" fillId="10" borderId="0" xfId="0" applyFill="1" applyAlignment="1">
      <alignment vertical="center" wrapText="1"/>
    </xf>
    <xf numFmtId="3" fontId="0" fillId="0" borderId="0" xfId="0" applyNumberFormat="1" applyAlignment="1">
      <alignment horizontal="right" vertical="center" wrapText="1"/>
    </xf>
    <xf numFmtId="3" fontId="0" fillId="10" borderId="0" xfId="0" applyNumberFormat="1" applyFill="1" applyAlignment="1">
      <alignment horizontal="right" vertical="center" wrapText="1"/>
    </xf>
    <xf numFmtId="0" fontId="2" fillId="0" borderId="0" xfId="1" applyFill="1" applyBorder="1" applyAlignment="1">
      <alignment horizontal="right"/>
    </xf>
    <xf numFmtId="0" fontId="2" fillId="0" borderId="0" xfId="1" applyAlignment="1">
      <alignment horizontal="right" wrapText="1"/>
    </xf>
    <xf numFmtId="0" fontId="3" fillId="0" borderId="0" xfId="1" applyFont="1"/>
    <xf numFmtId="4" fontId="3" fillId="0" borderId="0" xfId="1" applyNumberFormat="1" applyFont="1"/>
    <xf numFmtId="0" fontId="2" fillId="14" borderId="0" xfId="1" applyFill="1"/>
    <xf numFmtId="4" fontId="20" fillId="10" borderId="11" xfId="1" applyNumberFormat="1" applyFont="1" applyFill="1" applyBorder="1"/>
    <xf numFmtId="4" fontId="20" fillId="10" borderId="37" xfId="1" applyNumberFormat="1" applyFont="1" applyFill="1" applyBorder="1" applyAlignment="1">
      <alignment horizontal="right"/>
    </xf>
    <xf numFmtId="0" fontId="36" fillId="0" borderId="11" xfId="0" applyFont="1" applyBorder="1"/>
    <xf numFmtId="0" fontId="36" fillId="0" borderId="10" xfId="0" applyFont="1" applyBorder="1"/>
    <xf numFmtId="0" fontId="36" fillId="0" borderId="0" xfId="0" applyFont="1"/>
    <xf numFmtId="1" fontId="36" fillId="0" borderId="11" xfId="0" applyNumberFormat="1" applyFont="1" applyBorder="1" applyAlignment="1">
      <alignment horizontal="left"/>
    </xf>
    <xf numFmtId="14" fontId="36" fillId="0" borderId="11" xfId="0" applyNumberFormat="1" applyFont="1" applyBorder="1"/>
    <xf numFmtId="1" fontId="36" fillId="0" borderId="10" xfId="0" applyNumberFormat="1" applyFont="1" applyBorder="1" applyAlignment="1">
      <alignment wrapText="1"/>
    </xf>
    <xf numFmtId="0" fontId="36" fillId="0" borderId="10" xfId="0" applyFont="1" applyBorder="1" applyAlignment="1">
      <alignment wrapText="1"/>
    </xf>
    <xf numFmtId="4" fontId="0" fillId="5" borderId="15" xfId="0" applyNumberFormat="1" applyFont="1" applyFill="1" applyBorder="1"/>
    <xf numFmtId="4" fontId="0" fillId="5" borderId="7" xfId="0" applyNumberFormat="1" applyFont="1" applyFill="1" applyBorder="1"/>
    <xf numFmtId="4" fontId="0" fillId="2" borderId="15" xfId="0" applyNumberFormat="1" applyFont="1" applyFill="1" applyBorder="1"/>
    <xf numFmtId="4" fontId="0" fillId="2" borderId="7" xfId="0" applyNumberFormat="1" applyFont="1" applyFill="1" applyBorder="1"/>
    <xf numFmtId="4" fontId="0" fillId="3" borderId="14" xfId="0" applyNumberFormat="1" applyFont="1" applyFill="1" applyBorder="1"/>
    <xf numFmtId="4" fontId="0" fillId="3" borderId="13" xfId="0" applyNumberFormat="1" applyFont="1" applyFill="1" applyBorder="1"/>
    <xf numFmtId="4" fontId="0" fillId="4" borderId="13" xfId="0" applyNumberFormat="1" applyFont="1" applyFill="1" applyBorder="1"/>
    <xf numFmtId="4" fontId="0" fillId="4" borderId="16" xfId="0" applyNumberFormat="1" applyFont="1" applyFill="1" applyBorder="1"/>
    <xf numFmtId="4" fontId="0" fillId="4" borderId="17" xfId="0" applyNumberFormat="1" applyFont="1" applyFill="1" applyBorder="1"/>
    <xf numFmtId="4" fontId="0" fillId="4" borderId="18" xfId="0" applyNumberFormat="1" applyFont="1" applyFill="1" applyBorder="1"/>
    <xf numFmtId="4" fontId="0" fillId="4" borderId="14" xfId="0" applyNumberFormat="1" applyFont="1" applyFill="1" applyBorder="1"/>
    <xf numFmtId="0" fontId="0" fillId="0" borderId="0" xfId="0" applyFont="1"/>
    <xf numFmtId="4" fontId="0" fillId="5" borderId="1" xfId="0" applyNumberFormat="1" applyFont="1" applyFill="1" applyBorder="1"/>
    <xf numFmtId="4" fontId="0" fillId="5" borderId="5" xfId="0" applyNumberFormat="1" applyFont="1" applyFill="1" applyBorder="1"/>
    <xf numFmtId="4" fontId="0" fillId="2" borderId="1" xfId="0" applyNumberFormat="1" applyFont="1" applyFill="1" applyBorder="1"/>
    <xf numFmtId="4" fontId="0" fillId="2" borderId="5" xfId="0" applyNumberFormat="1" applyFont="1" applyFill="1" applyBorder="1"/>
    <xf numFmtId="4" fontId="0" fillId="3" borderId="12" xfId="0" applyNumberFormat="1" applyFont="1" applyFill="1" applyBorder="1"/>
    <xf numFmtId="4" fontId="0" fillId="3" borderId="11" xfId="0" applyNumberFormat="1" applyFont="1" applyFill="1" applyBorder="1"/>
    <xf numFmtId="4" fontId="0" fillId="4" borderId="11" xfId="0" applyNumberFormat="1" applyFont="1" applyFill="1" applyBorder="1"/>
    <xf numFmtId="4" fontId="0" fillId="4" borderId="10" xfId="0" applyNumberFormat="1" applyFont="1" applyFill="1" applyBorder="1"/>
    <xf numFmtId="4" fontId="0" fillId="4" borderId="1" xfId="0" applyNumberFormat="1" applyFont="1" applyFill="1" applyBorder="1"/>
    <xf numFmtId="4" fontId="0" fillId="4" borderId="5" xfId="0" applyNumberFormat="1" applyFont="1" applyFill="1" applyBorder="1"/>
    <xf numFmtId="4" fontId="0" fillId="4" borderId="12" xfId="0" applyNumberFormat="1" applyFont="1" applyFill="1" applyBorder="1"/>
    <xf numFmtId="4" fontId="0" fillId="0" borderId="0" xfId="0" applyNumberFormat="1" applyFont="1"/>
    <xf numFmtId="4" fontId="0" fillId="2" borderId="4" xfId="0" applyNumberFormat="1" applyFont="1" applyFill="1" applyBorder="1"/>
    <xf numFmtId="4" fontId="0" fillId="2" borderId="52" xfId="0" applyNumberFormat="1" applyFont="1" applyFill="1" applyBorder="1"/>
    <xf numFmtId="4" fontId="0" fillId="5" borderId="9" xfId="0" applyNumberFormat="1" applyFont="1" applyFill="1" applyBorder="1"/>
    <xf numFmtId="4" fontId="0" fillId="5" borderId="8" xfId="0" applyNumberFormat="1" applyFont="1" applyFill="1" applyBorder="1"/>
    <xf numFmtId="4" fontId="0" fillId="2" borderId="9" xfId="0" applyNumberFormat="1" applyFont="1" applyFill="1" applyBorder="1"/>
    <xf numFmtId="4" fontId="0" fillId="2" borderId="8" xfId="0" applyNumberFormat="1" applyFont="1" applyFill="1" applyBorder="1"/>
    <xf numFmtId="4" fontId="0" fillId="4" borderId="9" xfId="0" applyNumberFormat="1" applyFont="1" applyFill="1" applyBorder="1"/>
    <xf numFmtId="4" fontId="0" fillId="4" borderId="8" xfId="0" applyNumberFormat="1" applyFont="1" applyFill="1" applyBorder="1"/>
    <xf numFmtId="0" fontId="2" fillId="12" borderId="0" xfId="1" applyFill="1"/>
    <xf numFmtId="4" fontId="15" fillId="15" borderId="28" xfId="1" applyNumberFormat="1" applyFont="1" applyFill="1" applyBorder="1" applyAlignment="1">
      <alignment horizontal="right"/>
    </xf>
    <xf numFmtId="0" fontId="2" fillId="15" borderId="0" xfId="1" applyFill="1"/>
    <xf numFmtId="164" fontId="26" fillId="0" borderId="0" xfId="0" applyNumberFormat="1" applyFont="1"/>
    <xf numFmtId="0" fontId="11" fillId="0" borderId="0" xfId="1" applyFont="1" applyFill="1" applyAlignment="1">
      <alignment horizontal="right" wrapText="1"/>
    </xf>
    <xf numFmtId="4" fontId="2" fillId="0" borderId="0" xfId="1" applyNumberFormat="1" applyFill="1"/>
    <xf numFmtId="4" fontId="2" fillId="0" borderId="50" xfId="1" applyNumberFormat="1" applyFont="1" applyFill="1" applyBorder="1"/>
    <xf numFmtId="4" fontId="3" fillId="0" borderId="0" xfId="1" applyNumberFormat="1" applyFont="1" applyFill="1" applyBorder="1"/>
    <xf numFmtId="17" fontId="0" fillId="10" borderId="0" xfId="0" applyNumberFormat="1" applyFill="1" applyAlignment="1">
      <alignment horizontal="right"/>
    </xf>
    <xf numFmtId="0" fontId="0" fillId="0" borderId="0" xfId="0" applyFont="1" applyAlignment="1">
      <alignment horizontal="right"/>
    </xf>
    <xf numFmtId="0" fontId="3" fillId="9" borderId="20" xfId="1" applyFont="1" applyFill="1" applyBorder="1" applyAlignment="1">
      <alignment horizontal="center"/>
    </xf>
    <xf numFmtId="0" fontId="2" fillId="9" borderId="21" xfId="1" applyFont="1" applyFill="1" applyBorder="1" applyAlignment="1">
      <alignment horizontal="center"/>
    </xf>
    <xf numFmtId="0" fontId="2" fillId="9" borderId="22" xfId="1" applyFont="1" applyFill="1" applyBorder="1" applyAlignment="1">
      <alignment horizontal="center"/>
    </xf>
    <xf numFmtId="4" fontId="26" fillId="0" borderId="0" xfId="0" applyNumberFormat="1" applyFont="1" applyFill="1"/>
    <xf numFmtId="4" fontId="26" fillId="0" borderId="0" xfId="0" applyNumberFormat="1" applyFont="1" applyAlignment="1">
      <alignment horizontal="right"/>
    </xf>
    <xf numFmtId="4" fontId="26" fillId="0" borderId="0" xfId="0" applyNumberFormat="1" applyFont="1"/>
    <xf numFmtId="4" fontId="3" fillId="0" borderId="0" xfId="1" applyNumberFormat="1" applyFont="1" applyFill="1" applyAlignment="1">
      <alignment vertical="center"/>
    </xf>
    <xf numFmtId="4" fontId="11" fillId="0" borderId="0" xfId="1" applyNumberFormat="1" applyFont="1" applyFill="1" applyAlignment="1">
      <alignment vertical="center"/>
    </xf>
    <xf numFmtId="4" fontId="2" fillId="0" borderId="0" xfId="1" applyNumberFormat="1" applyFont="1" applyFill="1" applyAlignment="1">
      <alignment vertical="center"/>
    </xf>
    <xf numFmtId="4" fontId="9" fillId="0" borderId="0" xfId="1" applyNumberFormat="1" applyFont="1" applyFill="1" applyAlignment="1">
      <alignment vertical="center"/>
    </xf>
    <xf numFmtId="4" fontId="12" fillId="0" borderId="50" xfId="1" applyNumberFormat="1" applyFont="1" applyFill="1" applyBorder="1" applyAlignment="1">
      <alignment vertical="center"/>
    </xf>
    <xf numFmtId="4" fontId="28" fillId="10" borderId="0" xfId="1" applyNumberFormat="1" applyFont="1" applyFill="1" applyAlignment="1"/>
    <xf numFmtId="4" fontId="2" fillId="10" borderId="0" xfId="1" applyNumberFormat="1" applyFont="1" applyFill="1" applyAlignment="1"/>
    <xf numFmtId="4" fontId="2" fillId="10" borderId="50" xfId="1" applyNumberFormat="1" applyFont="1" applyFill="1" applyBorder="1" applyAlignment="1"/>
    <xf numFmtId="0" fontId="2" fillId="0" borderId="0" xfId="1" applyFill="1"/>
    <xf numFmtId="4" fontId="2" fillId="12" borderId="0" xfId="1" applyNumberFormat="1" applyFill="1"/>
    <xf numFmtId="0" fontId="23" fillId="6" borderId="0" xfId="0" applyFont="1" applyFill="1"/>
    <xf numFmtId="14" fontId="23" fillId="6" borderId="0" xfId="0" applyNumberFormat="1" applyFont="1" applyFill="1"/>
    <xf numFmtId="3" fontId="23" fillId="6" borderId="0" xfId="0" applyNumberFormat="1" applyFont="1" applyFill="1" applyAlignment="1">
      <alignment horizontal="right"/>
    </xf>
    <xf numFmtId="0" fontId="9" fillId="6" borderId="0" xfId="0" applyFont="1" applyFill="1"/>
    <xf numFmtId="3" fontId="23" fillId="0" borderId="0" xfId="0" applyNumberFormat="1" applyFont="1" applyFill="1" applyAlignment="1">
      <alignment horizontal="right"/>
    </xf>
    <xf numFmtId="4" fontId="2" fillId="0" borderId="0" xfId="1" applyNumberFormat="1" applyAlignment="1">
      <alignment wrapText="1"/>
    </xf>
    <xf numFmtId="4" fontId="9" fillId="0" borderId="0" xfId="1" applyNumberFormat="1" applyFont="1"/>
    <xf numFmtId="0" fontId="2" fillId="3" borderId="0" xfId="1" applyFill="1"/>
    <xf numFmtId="0" fontId="3" fillId="12" borderId="0" xfId="1" applyFont="1" applyFill="1" applyAlignment="1">
      <alignment horizontal="right" wrapText="1"/>
    </xf>
    <xf numFmtId="0" fontId="3" fillId="0" borderId="0" xfId="1" applyFont="1" applyAlignment="1">
      <alignment horizontal="right" wrapText="1"/>
    </xf>
    <xf numFmtId="0" fontId="2" fillId="6" borderId="0" xfId="1" applyFill="1"/>
    <xf numFmtId="0" fontId="3" fillId="10" borderId="0" xfId="1" applyFont="1" applyFill="1"/>
    <xf numFmtId="0" fontId="22" fillId="6" borderId="0" xfId="0" applyFont="1" applyFill="1"/>
    <xf numFmtId="0" fontId="26" fillId="6" borderId="0" xfId="0" applyFont="1" applyFill="1"/>
    <xf numFmtId="0" fontId="24" fillId="6" borderId="51" xfId="0" applyFont="1" applyFill="1" applyBorder="1"/>
    <xf numFmtId="0" fontId="24" fillId="6" borderId="51" xfId="0" applyFont="1" applyFill="1" applyBorder="1" applyAlignment="1">
      <alignment horizontal="right" wrapText="1"/>
    </xf>
    <xf numFmtId="0" fontId="23" fillId="6" borderId="0" xfId="1" applyFont="1" applyFill="1" applyBorder="1"/>
    <xf numFmtId="4" fontId="23" fillId="6" borderId="0" xfId="0" applyNumberFormat="1" applyFont="1" applyFill="1"/>
    <xf numFmtId="10" fontId="23" fillId="6" borderId="0" xfId="0" applyNumberFormat="1" applyFont="1" applyFill="1"/>
    <xf numFmtId="0" fontId="23" fillId="6" borderId="50" xfId="1" applyFont="1" applyFill="1" applyBorder="1"/>
    <xf numFmtId="0" fontId="23" fillId="6" borderId="50" xfId="0" applyFont="1" applyFill="1" applyBorder="1"/>
    <xf numFmtId="4" fontId="23" fillId="6" borderId="50" xfId="0" applyNumberFormat="1" applyFont="1" applyFill="1" applyBorder="1"/>
    <xf numFmtId="10" fontId="23" fillId="6" borderId="50" xfId="0" applyNumberFormat="1" applyFont="1" applyFill="1" applyBorder="1"/>
    <xf numFmtId="3" fontId="23" fillId="6" borderId="0" xfId="0" applyNumberFormat="1" applyFont="1" applyFill="1"/>
    <xf numFmtId="4" fontId="11" fillId="5" borderId="0" xfId="1" applyNumberFormat="1" applyFont="1" applyFill="1" applyAlignment="1">
      <alignment horizontal="right" wrapText="1"/>
    </xf>
    <xf numFmtId="0" fontId="3" fillId="0" borderId="0" xfId="1" applyFont="1" applyFill="1" applyBorder="1" applyAlignment="1">
      <alignment horizontal="right" wrapText="1"/>
    </xf>
    <xf numFmtId="3" fontId="2" fillId="0" borderId="0" xfId="1" applyNumberFormat="1" applyFont="1" applyFill="1" applyBorder="1" applyAlignment="1">
      <alignment vertical="center"/>
    </xf>
    <xf numFmtId="3" fontId="3" fillId="0" borderId="0" xfId="1" applyNumberFormat="1" applyFont="1" applyFill="1" applyBorder="1"/>
    <xf numFmtId="3" fontId="28" fillId="0" borderId="0" xfId="1" applyNumberFormat="1" applyFont="1" applyFill="1" applyBorder="1"/>
    <xf numFmtId="3" fontId="2" fillId="0" borderId="0" xfId="1" applyNumberFormat="1" applyFont="1" applyFill="1" applyBorder="1" applyAlignment="1"/>
    <xf numFmtId="3" fontId="3" fillId="0" borderId="0" xfId="1" applyNumberFormat="1" applyFont="1" applyFill="1" applyBorder="1" applyAlignment="1"/>
    <xf numFmtId="3" fontId="28" fillId="0" borderId="0" xfId="1" applyNumberFormat="1" applyFont="1" applyFill="1" applyBorder="1" applyAlignment="1"/>
    <xf numFmtId="3" fontId="29" fillId="0" borderId="0" xfId="1" applyNumberFormat="1" applyFont="1" applyFill="1" applyBorder="1"/>
    <xf numFmtId="3" fontId="15" fillId="0" borderId="0" xfId="1" applyNumberFormat="1" applyFont="1" applyFill="1" applyBorder="1" applyAlignment="1">
      <alignment horizontal="right"/>
    </xf>
    <xf numFmtId="0" fontId="15" fillId="0" borderId="0" xfId="1" applyFont="1" applyFill="1" applyBorder="1" applyAlignment="1">
      <alignment horizontal="right"/>
    </xf>
    <xf numFmtId="4" fontId="15" fillId="0" borderId="0" xfId="1" applyNumberFormat="1" applyFont="1" applyFill="1" applyBorder="1" applyAlignment="1">
      <alignment horizontal="right"/>
    </xf>
    <xf numFmtId="0" fontId="29" fillId="0" borderId="0" xfId="1" applyFont="1" applyFill="1" applyBorder="1" applyAlignment="1">
      <alignment horizontal="right"/>
    </xf>
    <xf numFmtId="0" fontId="2" fillId="2" borderId="6" xfId="1" applyFont="1" applyFill="1" applyBorder="1" applyAlignment="1">
      <alignment wrapText="1"/>
    </xf>
    <xf numFmtId="0" fontId="31" fillId="2" borderId="4" xfId="0" applyFont="1" applyFill="1" applyBorder="1" applyAlignment="1">
      <alignment wrapText="1"/>
    </xf>
    <xf numFmtId="0" fontId="3" fillId="10" borderId="2" xfId="1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31" fillId="0" borderId="4" xfId="0" applyFont="1" applyBorder="1" applyAlignment="1">
      <alignment wrapText="1"/>
    </xf>
    <xf numFmtId="0" fontId="2" fillId="2" borderId="24" xfId="1" applyFont="1" applyFill="1" applyBorder="1" applyAlignment="1">
      <alignment wrapText="1"/>
    </xf>
    <xf numFmtId="0" fontId="31" fillId="0" borderId="25" xfId="0" applyFont="1" applyBorder="1" applyAlignment="1">
      <alignment wrapText="1"/>
    </xf>
    <xf numFmtId="4" fontId="3" fillId="4" borderId="6" xfId="1" applyNumberFormat="1" applyFont="1" applyFill="1" applyBorder="1" applyAlignment="1">
      <alignment horizontal="center" vertical="center" wrapText="1"/>
    </xf>
    <xf numFmtId="4" fontId="3" fillId="4" borderId="4" xfId="1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wrapText="1"/>
    </xf>
    <xf numFmtId="0" fontId="1" fillId="5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3" borderId="12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  <xf numFmtId="4" fontId="3" fillId="4" borderId="10" xfId="1" applyNumberFormat="1" applyFont="1" applyFill="1" applyBorder="1" applyAlignment="1">
      <alignment horizontal="center" vertical="center" wrapText="1"/>
    </xf>
    <xf numFmtId="4" fontId="3" fillId="4" borderId="12" xfId="1" applyNumberFormat="1" applyFont="1" applyFill="1" applyBorder="1" applyAlignment="1">
      <alignment horizontal="center" vertical="center" wrapText="1"/>
    </xf>
    <xf numFmtId="4" fontId="3" fillId="4" borderId="2" xfId="1" applyNumberFormat="1" applyFont="1" applyFill="1" applyBorder="1" applyAlignment="1">
      <alignment horizontal="center" vertical="center" wrapText="1"/>
    </xf>
    <xf numFmtId="4" fontId="3" fillId="4" borderId="3" xfId="1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wrapText="1"/>
    </xf>
    <xf numFmtId="0" fontId="1" fillId="4" borderId="3" xfId="0" applyFont="1" applyFill="1" applyBorder="1" applyAlignment="1">
      <alignment horizontal="center" wrapText="1"/>
    </xf>
    <xf numFmtId="0" fontId="19" fillId="0" borderId="20" xfId="1" applyFont="1" applyBorder="1" applyAlignment="1">
      <alignment wrapText="1"/>
    </xf>
    <xf numFmtId="0" fontId="2" fillId="0" borderId="21" xfId="1" applyBorder="1" applyAlignment="1">
      <alignment wrapText="1"/>
    </xf>
    <xf numFmtId="0" fontId="2" fillId="0" borderId="22" xfId="1" applyBorder="1" applyAlignment="1"/>
    <xf numFmtId="0" fontId="2" fillId="0" borderId="34" xfId="1" applyBorder="1" applyAlignment="1">
      <alignment wrapText="1"/>
    </xf>
    <xf numFmtId="0" fontId="2" fillId="0" borderId="32" xfId="1" applyBorder="1" applyAlignment="1">
      <alignment wrapText="1"/>
    </xf>
    <xf numFmtId="0" fontId="2" fillId="0" borderId="35" xfId="1" applyBorder="1" applyAlignment="1"/>
    <xf numFmtId="0" fontId="20" fillId="0" borderId="38" xfId="1" applyFont="1" applyBorder="1" applyAlignment="1">
      <alignment horizontal="left" wrapText="1"/>
    </xf>
    <xf numFmtId="0" fontId="20" fillId="0" borderId="32" xfId="1" applyFont="1" applyBorder="1" applyAlignment="1">
      <alignment horizontal="left" wrapText="1"/>
    </xf>
  </cellXfs>
  <cellStyles count="3">
    <cellStyle name="Hyperlänk" xfId="2" builtinId="8"/>
    <cellStyle name="Normal" xfId="0" builtinId="0"/>
    <cellStyle name="Normal 2" xfId="1"/>
  </cellStyles>
  <dxfs count="1">
    <dxf>
      <numFmt numFmtId="3" formatCode="#,##0"/>
    </dxf>
  </dxfs>
  <tableStyles count="0" defaultTableStyle="TableStyleMedium2" defaultPivotStyle="PivotStyleLight16"/>
  <colors>
    <mruColors>
      <color rgb="FFCCFFFF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pivotCacheDefinition" Target="pivotCache/pivotCacheDefinition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1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hyperlink" Target="javascript:skapaHelp('sokresultat');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152400</xdr:colOff>
      <xdr:row>5</xdr:row>
      <xdr:rowOff>152400</xdr:rowOff>
    </xdr:to>
    <xdr:pic>
      <xdr:nvPicPr>
        <xdr:cNvPr id="2" name="Bildobjekt 1" descr="hjälp">
          <a:hlinkClick xmlns:r="http://schemas.openxmlformats.org/officeDocument/2006/relationships" r:id="rId1" tooltip="Länk: Hjälp om sökresultat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152400</xdr:colOff>
      <xdr:row>5</xdr:row>
      <xdr:rowOff>152400</xdr:rowOff>
    </xdr:to>
    <xdr:pic>
      <xdr:nvPicPr>
        <xdr:cNvPr id="5" name="Bildobjekt 4" descr="hjälp">
          <a:hlinkClick xmlns:r="http://schemas.openxmlformats.org/officeDocument/2006/relationships" r:id="rId1" tooltip="Länk: Hjälp om sökresultat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t/AppData/Local/Microsoft/Windows/INetCache/IE/SH4WGFL5/Bokf&#246;ring%202011-12%20V&#228;mling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_Utf 2011- 2012"/>
      <sheetName val="Bokföring"/>
      <sheetName val="Ers Stig 1-11"/>
      <sheetName val="Ers Stig 2-11"/>
      <sheetName val="Ers Stig 3-11"/>
      <sheetName val="Ers Stig 1-12"/>
      <sheetName val="Skatter 2011"/>
      <sheetName val="Skatter 2012"/>
      <sheetName val="Pivot-medlemsavg"/>
      <sheetName val="Medlemsavgifter"/>
      <sheetName val="Arvoden"/>
      <sheetName val="Budget_Utf 2012-2014"/>
      <sheetName val="Utf 2010-2011"/>
      <sheetName val="midsomm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3">
          <cell r="J13">
            <v>11498.099999999999</v>
          </cell>
        </row>
        <row r="19">
          <cell r="G19">
            <v>25622.07</v>
          </cell>
        </row>
        <row r="29">
          <cell r="B29">
            <v>1297.6499999999996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Kajsa" refreshedDate="42092.752409490742" createdVersion="4" refreshedVersion="4" minRefreshableVersion="3" recordCount="117">
  <cacheSource type="worksheet">
    <worksheetSource ref="A6:J123" sheet="Medlemsavgifter"/>
  </cacheSource>
  <cacheFields count="10">
    <cacheField name="Nr" numFmtId="0">
      <sharedItems containsBlank="1" containsMixedTypes="1" containsNumber="1" containsInteger="1" minValue="1" maxValue="35"/>
    </cacheField>
    <cacheField name="Vägnamn förr" numFmtId="0">
      <sharedItems/>
    </cacheField>
    <cacheField name="Nytt vägnamn" numFmtId="0">
      <sharedItems count="16">
        <s v="Blåklintvägen"/>
        <s v="Blåklockevägen"/>
        <s v="Skvadronvägen"/>
        <s v="Mandelblomsvägen"/>
        <s v="Timotejvägen"/>
        <s v="Lupinvägen"/>
        <s v="Harsyrevägen"/>
        <s v="Dahliavägen"/>
        <s v="Anemonvägen"/>
        <s v="Syrenblomsvägen"/>
        <s v="Liljekonvaljvägen"/>
        <s v="Vitsjö Gård"/>
        <s v="Vårlöksvägen"/>
        <s v="Åkerviolvägen"/>
        <s v="Irisvägen"/>
        <s v="Ängsklockevägen"/>
      </sharedItems>
    </cacheField>
    <cacheField name="Fastighetsbeteckn" numFmtId="49">
      <sharedItems/>
    </cacheField>
    <cacheField name="Namn" numFmtId="0">
      <sharedItems/>
    </cacheField>
    <cacheField name="Betalt" numFmtId="0">
      <sharedItems containsSemiMixedTypes="0" containsString="0" containsNumber="1" minValue="250" maxValue="1500.6"/>
    </cacheField>
    <cacheField name="Inbetalt datum" numFmtId="14">
      <sharedItems containsSemiMixedTypes="0" containsNonDate="0" containsDate="1" containsString="0" minDate="2014-05-30T00:00:00" maxDate="2014-10-16T00:00:00"/>
    </cacheField>
    <cacheField name="Ver nr" numFmtId="0">
      <sharedItems containsSemiMixedTypes="0" containsString="0" containsNumber="1" containsInteger="1" minValue="8" maxValue="60"/>
    </cacheField>
    <cacheField name="Ej betalt" numFmtId="3">
      <sharedItems containsSemiMixedTypes="0" containsString="0" containsNumber="1" containsInteger="1" minValue="0" maxValue="0"/>
    </cacheField>
    <cacheField name="Kommentar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7">
  <r>
    <n v="1"/>
    <s v="Badvägen"/>
    <x v="0"/>
    <s v="6:73"/>
    <s v="Mary Erjestedt"/>
    <n v="1500"/>
    <d v="2014-08-29T00:00:00"/>
    <n v="45"/>
    <n v="0"/>
    <m/>
  </r>
  <r>
    <n v="3"/>
    <s v="Badvägen"/>
    <x v="0"/>
    <s v="6:72"/>
    <s v="Henry o Greta Bäckström"/>
    <n v="1500"/>
    <d v="2014-08-22T00:00:00"/>
    <n v="39"/>
    <n v="0"/>
    <m/>
  </r>
  <r>
    <n v="4"/>
    <s v="Badvägen"/>
    <x v="0"/>
    <s v="6:70"/>
    <s v="Per-Olof Åkerstedt"/>
    <n v="1500"/>
    <d v="2014-08-27T00:00:00"/>
    <n v="42"/>
    <n v="0"/>
    <m/>
  </r>
  <r>
    <n v="5"/>
    <s v="Badvägen"/>
    <x v="0"/>
    <s v="6:71"/>
    <s v="Torbjörn Lindgren"/>
    <n v="1500"/>
    <d v="2014-07-21T00:00:00"/>
    <n v="23"/>
    <n v="0"/>
    <m/>
  </r>
  <r>
    <n v="1"/>
    <s v="Björkvägen"/>
    <x v="1"/>
    <s v="6:56"/>
    <s v="Gunilla/Conny Fredriksson"/>
    <n v="1500"/>
    <d v="2014-08-29T00:00:00"/>
    <n v="45"/>
    <n v="0"/>
    <m/>
  </r>
  <r>
    <n v="4"/>
    <s v="Björkvägen"/>
    <x v="1"/>
    <s v="6:44"/>
    <s v="Mats Berglöf"/>
    <n v="1500"/>
    <d v="2014-08-26T00:00:00"/>
    <n v="41"/>
    <n v="0"/>
    <m/>
  </r>
  <r>
    <n v="5"/>
    <s v="Björkvägen"/>
    <x v="1"/>
    <s v="6:54"/>
    <s v="Helene Berglöf"/>
    <n v="1500"/>
    <d v="2014-08-26T00:00:00"/>
    <n v="41"/>
    <n v="0"/>
    <s v="Jim Brglöf?? Skrivit 6:55, men ska vara 6:54"/>
  </r>
  <r>
    <n v="6"/>
    <s v="Björkvägen"/>
    <x v="1"/>
    <s v="6:47"/>
    <s v="Åke Strandberg"/>
    <n v="1500"/>
    <d v="2014-09-01T00:00:00"/>
    <n v="49"/>
    <n v="0"/>
    <m/>
  </r>
  <r>
    <n v="7"/>
    <s v="Björkvägen"/>
    <x v="1"/>
    <s v="6:53"/>
    <s v="Fatou Vikström"/>
    <n v="1500"/>
    <d v="2014-07-29T00:00:00"/>
    <n v="29"/>
    <n v="0"/>
    <s v="4 syskon ägare"/>
  </r>
  <r>
    <n v="9"/>
    <s v="Björkvägen"/>
    <x v="1"/>
    <s v="6:52"/>
    <s v="Torbjörn Killander"/>
    <n v="1500"/>
    <d v="2014-07-31T00:00:00"/>
    <n v="31"/>
    <n v="0"/>
    <m/>
  </r>
  <r>
    <n v="11"/>
    <s v="Björkvägen"/>
    <x v="1"/>
    <s v="6:51"/>
    <s v="Torbjörn Killander"/>
    <n v="1500"/>
    <d v="2014-07-31T00:00:00"/>
    <n v="31"/>
    <n v="0"/>
    <m/>
  </r>
  <r>
    <n v="13"/>
    <s v="Björkvägen"/>
    <x v="1"/>
    <s v="6:50"/>
    <s v="Ann-Marie o Bengt Roll"/>
    <n v="1500"/>
    <d v="2014-08-29T00:00:00"/>
    <n v="45"/>
    <n v="0"/>
    <m/>
  </r>
  <r>
    <n v="8"/>
    <s v="Dragonvägen"/>
    <x v="2"/>
    <s v="6:12"/>
    <s v="Margot Svanberg"/>
    <n v="250"/>
    <d v="2014-08-29T00:00:00"/>
    <n v="45"/>
    <n v="0"/>
    <s v="nr 42?? För 2 mån."/>
  </r>
  <r>
    <n v="35"/>
    <s v="Dragonvägen"/>
    <x v="2"/>
    <s v="6:83"/>
    <s v="Ulrika o Renato Rios"/>
    <n v="1500"/>
    <d v="2014-08-29T00:00:00"/>
    <n v="45"/>
    <n v="0"/>
    <m/>
  </r>
  <r>
    <n v="1"/>
    <s v="Eklundavägen "/>
    <x v="3"/>
    <s v="3:7"/>
    <s v="Anita o Gustaf Berencreutz"/>
    <n v="1500"/>
    <d v="2014-07-30T00:00:00"/>
    <n v="30"/>
    <n v="0"/>
    <m/>
  </r>
  <r>
    <n v="2"/>
    <s v="Eklundavägen "/>
    <x v="3"/>
    <s v="6:82"/>
    <s v="Ancha Blom"/>
    <n v="1500"/>
    <d v="2014-08-27T00:00:00"/>
    <n v="42"/>
    <n v="0"/>
    <m/>
  </r>
  <r>
    <n v="3"/>
    <s v="Eklundavägen "/>
    <x v="3"/>
    <s v="6:271"/>
    <s v="Jerry o Ann-Britt Ekner"/>
    <n v="1500"/>
    <d v="2014-08-29T00:00:00"/>
    <n v="45"/>
    <n v="0"/>
    <m/>
  </r>
  <r>
    <n v="4"/>
    <s v="Eklundavägen "/>
    <x v="3"/>
    <s v="6:80"/>
    <s v="Hans Eliasson"/>
    <n v="1500"/>
    <d v="2014-08-27T00:00:00"/>
    <n v="42"/>
    <n v="0"/>
    <m/>
  </r>
  <r>
    <n v="5"/>
    <s v="Eklundavägen "/>
    <x v="3"/>
    <s v="6:270"/>
    <s v="Monica Nilsson o Ingemar Ström"/>
    <n v="1500"/>
    <d v="2014-08-29T00:00:00"/>
    <n v="45"/>
    <n v="0"/>
    <m/>
  </r>
  <r>
    <n v="6"/>
    <s v="Eklundavägen "/>
    <x v="3"/>
    <s v="6:79"/>
    <s v="Kjell Rudaeus"/>
    <n v="1500"/>
    <d v="2014-08-26T00:00:00"/>
    <n v="41"/>
    <n v="0"/>
    <m/>
  </r>
  <r>
    <n v="8"/>
    <s v="Eklundavägen "/>
    <x v="3"/>
    <s v="6:77"/>
    <s v="Roger o Eva Janving"/>
    <n v="1500"/>
    <d v="2014-07-21T00:00:00"/>
    <n v="23"/>
    <n v="0"/>
    <s v="Tidigare Jens Wigen"/>
  </r>
  <r>
    <n v="10"/>
    <s v="Eklundavägen "/>
    <x v="3"/>
    <s v="6:105"/>
    <s v="Lorna Elofsson"/>
    <n v="1500"/>
    <d v="2014-08-28T00:00:00"/>
    <n v="45"/>
    <n v="0"/>
    <m/>
  </r>
  <r>
    <n v="12"/>
    <s v="Eklundavägen "/>
    <x v="3"/>
    <s v="6:104"/>
    <s v="Jack Nyström"/>
    <n v="1500"/>
    <d v="2014-09-01T00:00:00"/>
    <n v="49"/>
    <n v="0"/>
    <m/>
  </r>
  <r>
    <n v="14"/>
    <s v="Eklundavägen "/>
    <x v="3"/>
    <s v="6:102"/>
    <s v="Anette o Iska Karevaara"/>
    <n v="1500"/>
    <d v="2014-08-29T00:00:00"/>
    <n v="45"/>
    <n v="0"/>
    <m/>
  </r>
  <r>
    <n v="16"/>
    <s v="Eklundavägen "/>
    <x v="3"/>
    <s v="6:120"/>
    <s v="Martin o Sofia Neselius"/>
    <n v="1500"/>
    <d v="2014-08-28T00:00:00"/>
    <n v="45"/>
    <n v="0"/>
    <m/>
  </r>
  <r>
    <n v="18"/>
    <s v="Eklundavägen "/>
    <x v="3"/>
    <s v="6:119"/>
    <s v="Carina Glas o Anders Krantz"/>
    <n v="1500"/>
    <d v="2014-08-29T00:00:00"/>
    <n v="45"/>
    <n v="0"/>
    <m/>
  </r>
  <r>
    <s v="3B"/>
    <s v="Eklundavägen "/>
    <x v="3"/>
    <s v="2:1"/>
    <s v="Anders Berndtsson o Karin Fröjd"/>
    <n v="1500"/>
    <d v="2014-10-15T00:00:00"/>
    <n v="60"/>
    <n v="0"/>
    <s v="Tidigare Philip Schwab"/>
  </r>
  <r>
    <n v="1"/>
    <s v="Ekvägen"/>
    <x v="4"/>
    <s v="6:98"/>
    <s v="Therese Edvall o Mikael Björkman"/>
    <n v="1500"/>
    <d v="2014-09-08T00:00:00"/>
    <n v="54"/>
    <n v="0"/>
    <m/>
  </r>
  <r>
    <n v="2"/>
    <s v="Ekvägen"/>
    <x v="4"/>
    <s v="6:100"/>
    <s v="Marjatta Seluska"/>
    <n v="1500"/>
    <d v="2014-08-25T00:00:00"/>
    <n v="40"/>
    <n v="0"/>
    <m/>
  </r>
  <r>
    <n v="3"/>
    <s v="Ekvägen"/>
    <x v="4"/>
    <s v="6:95"/>
    <s v="Barbro Leder Johansson"/>
    <n v="1500"/>
    <d v="2014-07-28T00:00:00"/>
    <n v="27"/>
    <n v="0"/>
    <m/>
  </r>
  <r>
    <n v="4"/>
    <s v="Ekvägen"/>
    <x v="4"/>
    <s v="6:99"/>
    <s v="Joseph Markström-Williamsson"/>
    <n v="1500"/>
    <d v="2014-08-28T00:00:00"/>
    <n v="45"/>
    <n v="0"/>
    <m/>
  </r>
  <r>
    <n v="5"/>
    <s v="Ekvägen"/>
    <x v="4"/>
    <s v="6:93"/>
    <s v="Yrjö Pollari"/>
    <n v="1500"/>
    <d v="2014-07-22T00:00:00"/>
    <n v="39"/>
    <n v="0"/>
    <m/>
  </r>
  <r>
    <n v="6"/>
    <s v="Ekvägen"/>
    <x v="4"/>
    <s v="6:118"/>
    <s v="Helene Karlsson"/>
    <n v="1500"/>
    <d v="2014-07-29T00:00:00"/>
    <n v="29"/>
    <n v="0"/>
    <m/>
  </r>
  <r>
    <n v="7"/>
    <s v="Ekvägen"/>
    <x v="4"/>
    <s v="6:91"/>
    <s v="Glenn Andersson"/>
    <n v="1500"/>
    <d v="2014-07-23T00:00:00"/>
    <n v="24"/>
    <n v="0"/>
    <m/>
  </r>
  <r>
    <n v="8"/>
    <s v="Ekvägen"/>
    <x v="4"/>
    <s v="6:117"/>
    <s v="Eivor Tillborg"/>
    <n v="1500"/>
    <d v="2014-07-29T00:00:00"/>
    <n v="29"/>
    <n v="0"/>
    <m/>
  </r>
  <r>
    <n v="9"/>
    <s v="Ekvägen"/>
    <x v="4"/>
    <s v="6:115"/>
    <s v="Sven-Gunnar Andersson"/>
    <n v="1500"/>
    <d v="2014-07-23T00:00:00"/>
    <n v="24"/>
    <n v="0"/>
    <m/>
  </r>
  <r>
    <n v="10"/>
    <s v="Ekvägen"/>
    <x v="4"/>
    <s v="6:116"/>
    <s v="Rickard o Maria Rosén"/>
    <n v="1500"/>
    <d v="2014-07-30T00:00:00"/>
    <n v="30"/>
    <n v="0"/>
    <m/>
  </r>
  <r>
    <n v="11"/>
    <s v="Ekvägen"/>
    <x v="4"/>
    <s v="6:114"/>
    <s v="Rut Resare"/>
    <n v="1500"/>
    <d v="2014-07-25T00:00:00"/>
    <n v="26"/>
    <n v="0"/>
    <m/>
  </r>
  <r>
    <n v="13"/>
    <s v="Ekvägen"/>
    <x v="4"/>
    <s v="6:112"/>
    <s v="Rigmor o Niklas Schröder"/>
    <n v="1500"/>
    <d v="2014-08-29T00:00:00"/>
    <n v="45"/>
    <n v="0"/>
    <m/>
  </r>
  <r>
    <n v="2"/>
    <s v="Hagavägen"/>
    <x v="5"/>
    <s v="6:15"/>
    <s v="Birgitta Wågman"/>
    <n v="1500"/>
    <d v="2014-07-29T00:00:00"/>
    <n v="29"/>
    <n v="0"/>
    <m/>
  </r>
  <r>
    <n v="3"/>
    <s v="Hagavägen"/>
    <x v="5"/>
    <s v="6:39"/>
    <s v="Berit Sjödén"/>
    <n v="1500"/>
    <d v="2014-09-01T00:00:00"/>
    <n v="49"/>
    <n v="0"/>
    <m/>
  </r>
  <r>
    <n v="4"/>
    <s v="Hagavägen"/>
    <x v="5"/>
    <s v="6:03"/>
    <s v="Lillemor o Peter Samsoie"/>
    <n v="1500"/>
    <d v="2014-08-26T00:00:00"/>
    <n v="41"/>
    <n v="0"/>
    <m/>
  </r>
  <r>
    <n v="5"/>
    <s v="Hagavägen"/>
    <x v="5"/>
    <s v="6:27"/>
    <s v="Lilian Jonsson"/>
    <n v="1500"/>
    <d v="2014-07-25T00:00:00"/>
    <n v="26"/>
    <n v="0"/>
    <s v="Tidigare Pernilla Ekestolpe"/>
  </r>
  <r>
    <n v="6"/>
    <s v="Hagavägen"/>
    <x v="5"/>
    <s v="6:16"/>
    <s v="Kristina Lindquist Carlsson"/>
    <n v="1500"/>
    <d v="2014-08-29T00:00:00"/>
    <n v="45"/>
    <n v="0"/>
    <m/>
  </r>
  <r>
    <n v="7"/>
    <s v="Hagavägen"/>
    <x v="5"/>
    <s v="6:26"/>
    <s v="Inger Ekstrand"/>
    <n v="1500"/>
    <d v="2014-08-26T00:00:00"/>
    <n v="41"/>
    <n v="0"/>
    <m/>
  </r>
  <r>
    <n v="8"/>
    <s v="Hagavägen"/>
    <x v="5"/>
    <s v="6:17"/>
    <s v="Herman Lundell"/>
    <n v="1500"/>
    <d v="2014-07-28T00:00:00"/>
    <n v="27"/>
    <n v="0"/>
    <m/>
  </r>
  <r>
    <n v="10"/>
    <s v="Hagavägen"/>
    <x v="5"/>
    <s v="6:18"/>
    <s v="Madeleine Lundberg"/>
    <n v="1500"/>
    <d v="2014-08-27T00:00:00"/>
    <n v="42"/>
    <n v="0"/>
    <s v="Linus Svedbjörk?"/>
  </r>
  <r>
    <n v="13"/>
    <s v="Hagavägen"/>
    <x v="5"/>
    <s v="6:19"/>
    <s v="Christer Andersson"/>
    <n v="1500"/>
    <d v="2014-08-29T00:00:00"/>
    <n v="45"/>
    <n v="0"/>
    <m/>
  </r>
  <r>
    <n v="15"/>
    <s v="Hagavägen"/>
    <x v="5"/>
    <s v="6:2"/>
    <s v="Igor Donkervoort/Jane Schultzberg"/>
    <n v="1500"/>
    <d v="2014-08-26T00:00:00"/>
    <n v="41"/>
    <n v="0"/>
    <m/>
  </r>
  <r>
    <n v="17"/>
    <s v="Hagavägen"/>
    <x v="5"/>
    <s v="6:1"/>
    <s v="Kicki o Leif Hassa Jansson"/>
    <n v="1500"/>
    <d v="2014-09-01T00:00:00"/>
    <n v="49"/>
    <n v="0"/>
    <m/>
  </r>
  <r>
    <s v="2b"/>
    <s v="Hallonvägen"/>
    <x v="5"/>
    <s v="6:14"/>
    <s v="Irene Lindström"/>
    <n v="1500.6"/>
    <d v="2014-07-28T00:00:00"/>
    <n v="27"/>
    <n v="0"/>
    <m/>
  </r>
  <r>
    <n v="1"/>
    <s v="Harvägen"/>
    <x v="6"/>
    <s v="6:25"/>
    <s v="May Markskog"/>
    <n v="1500"/>
    <d v="2014-08-29T00:00:00"/>
    <n v="45"/>
    <n v="0"/>
    <m/>
  </r>
  <r>
    <n v="2"/>
    <s v="Harvägen"/>
    <x v="6"/>
    <s v="6:20"/>
    <s v="Barbro Franzén"/>
    <n v="1500"/>
    <d v="2014-08-26T00:00:00"/>
    <n v="41"/>
    <n v="0"/>
    <m/>
  </r>
  <r>
    <n v="3"/>
    <s v="Harvägen"/>
    <x v="6"/>
    <s v="6:24"/>
    <s v="Anders Meijer"/>
    <n v="1500"/>
    <d v="2014-07-24T00:00:00"/>
    <n v="25"/>
    <n v="0"/>
    <m/>
  </r>
  <r>
    <n v="4"/>
    <s v="Harvägen"/>
    <x v="6"/>
    <s v="6:21"/>
    <s v="Irene Mejerhed"/>
    <n v="1500"/>
    <d v="2014-08-27T00:00:00"/>
    <n v="42"/>
    <n v="0"/>
    <m/>
  </r>
  <r>
    <n v="1"/>
    <s v="Ringvägen"/>
    <x v="7"/>
    <s v="6:84"/>
    <s v="Maria Sloth"/>
    <n v="1500"/>
    <d v="2014-09-02T00:00:00"/>
    <n v="50"/>
    <n v="0"/>
    <m/>
  </r>
  <r>
    <n v="2"/>
    <s v="Ringvägen"/>
    <x v="7"/>
    <s v="6:89"/>
    <s v="Rose Marie Köhler"/>
    <n v="1500"/>
    <d v="2014-08-29T00:00:00"/>
    <n v="45"/>
    <n v="0"/>
    <m/>
  </r>
  <r>
    <n v="3"/>
    <s v="Ringvägen"/>
    <x v="7"/>
    <s v="6:81"/>
    <s v="Catarina Wahlgren"/>
    <n v="1500"/>
    <d v="2014-08-01T00:00:00"/>
    <n v="32"/>
    <n v="0"/>
    <m/>
  </r>
  <r>
    <n v="7"/>
    <s v="Ringvägen"/>
    <x v="7"/>
    <s v="6:78"/>
    <s v="Åke o Inger Grönberg"/>
    <n v="1500"/>
    <d v="2014-08-29T00:00:00"/>
    <n v="45"/>
    <n v="0"/>
    <m/>
  </r>
  <r>
    <n v="8"/>
    <s v="Ringvägen"/>
    <x v="7"/>
    <s v="6:86"/>
    <s v="Eva Karlsson"/>
    <n v="1500"/>
    <d v="2014-08-29T00:00:00"/>
    <n v="45"/>
    <n v="0"/>
    <m/>
  </r>
  <r>
    <n v="9"/>
    <s v="Ringvägen"/>
    <x v="7"/>
    <s v="6:106"/>
    <s v="Ingrid Jonasson"/>
    <n v="1500"/>
    <d v="2014-08-29T00:00:00"/>
    <n v="45"/>
    <n v="0"/>
    <m/>
  </r>
  <r>
    <n v="10"/>
    <s v="Ringvägen"/>
    <x v="7"/>
    <s v="6:85"/>
    <s v="Peter Malmström/Lotta Angsell"/>
    <n v="1500"/>
    <d v="2014-08-25T00:00:00"/>
    <n v="40"/>
    <n v="0"/>
    <m/>
  </r>
  <r>
    <n v="11"/>
    <s v="Ringvägen"/>
    <x v="7"/>
    <s v="6:103"/>
    <s v="Curt Lundquist"/>
    <n v="1500"/>
    <d v="2014-09-08T00:00:00"/>
    <n v="54"/>
    <n v="0"/>
    <m/>
  </r>
  <r>
    <n v="12"/>
    <s v="Ringvägen"/>
    <x v="7"/>
    <s v="6:109"/>
    <s v="Ulla-Britt Wåhlin"/>
    <n v="1500"/>
    <d v="2014-08-27T00:00:00"/>
    <n v="42"/>
    <n v="0"/>
    <m/>
  </r>
  <r>
    <n v="13"/>
    <s v="Ringvägen"/>
    <x v="7"/>
    <s v="6:101"/>
    <s v="Anders Henriksson"/>
    <n v="1500"/>
    <d v="2014-08-29T00:00:00"/>
    <n v="45"/>
    <n v="0"/>
    <m/>
  </r>
  <r>
    <n v="14"/>
    <s v="Ringvägen"/>
    <x v="7"/>
    <s v="6:107"/>
    <s v="Leif Rurling"/>
    <n v="1500"/>
    <d v="2014-08-29T00:00:00"/>
    <n v="45"/>
    <n v="0"/>
    <m/>
  </r>
  <r>
    <n v="15"/>
    <s v="Ringvägen"/>
    <x v="7"/>
    <s v="6:121"/>
    <s v="Agneta o Rodney Gibson"/>
    <n v="1500"/>
    <d v="2014-07-29T00:00:00"/>
    <n v="29"/>
    <n v="0"/>
    <m/>
  </r>
  <r>
    <n v="1"/>
    <s v="Sjövägen"/>
    <x v="8"/>
    <s v="6:76"/>
    <s v="Jan-Erik Bäckström"/>
    <n v="1500"/>
    <d v="2014-10-14T00:00:00"/>
    <n v="59"/>
    <n v="0"/>
    <m/>
  </r>
  <r>
    <n v="2"/>
    <s v="Sjövägen"/>
    <x v="8"/>
    <s v="6:40"/>
    <s v="Tommy Haglund"/>
    <n v="1500"/>
    <d v="2014-07-24T00:00:00"/>
    <n v="25"/>
    <n v="0"/>
    <m/>
  </r>
  <r>
    <n v="3"/>
    <s v="Sjövägen"/>
    <x v="8"/>
    <s v="6:75"/>
    <s v="Mark o Claery Westberg"/>
    <n v="1500"/>
    <d v="2014-08-28T00:00:00"/>
    <n v="45"/>
    <n v="0"/>
    <m/>
  </r>
  <r>
    <n v="4"/>
    <s v="Sjövägen"/>
    <x v="8"/>
    <s v="6:41"/>
    <s v="Tommy Haglund"/>
    <n v="1500"/>
    <d v="2014-07-24T00:00:00"/>
    <n v="25"/>
    <n v="0"/>
    <m/>
  </r>
  <r>
    <n v="5"/>
    <s v="Sjövägen"/>
    <x v="8"/>
    <s v="6:74"/>
    <s v="Ove Rönnkvist"/>
    <n v="1500"/>
    <d v="2014-06-27T00:00:00"/>
    <n v="17"/>
    <n v="0"/>
    <m/>
  </r>
  <r>
    <n v="6"/>
    <s v="Sjövägen"/>
    <x v="8"/>
    <s v="6:42"/>
    <s v="David o Francine Finer"/>
    <n v="1500"/>
    <d v="2014-07-28T00:00:00"/>
    <n v="27"/>
    <n v="0"/>
    <m/>
  </r>
  <r>
    <n v="7"/>
    <s v="Sjövägen"/>
    <x v="8"/>
    <s v="6:69"/>
    <s v="Anita Wiberg"/>
    <n v="1500"/>
    <d v="2014-09-05T00:00:00"/>
    <n v="53"/>
    <n v="0"/>
    <m/>
  </r>
  <r>
    <n v="8"/>
    <s v="Sjövägen"/>
    <x v="8"/>
    <s v="6:43"/>
    <s v="Kajsa Björkman/Ronald Högberg"/>
    <n v="1500"/>
    <d v="2014-07-31T00:00:00"/>
    <n v="31"/>
    <n v="0"/>
    <m/>
  </r>
  <r>
    <n v="9"/>
    <s v="Sjövägen"/>
    <x v="8"/>
    <s v="6:68"/>
    <s v="Kristian Gimsenius"/>
    <n v="1500"/>
    <d v="2014-08-29T00:00:00"/>
    <n v="45"/>
    <n v="0"/>
    <m/>
  </r>
  <r>
    <n v="11"/>
    <s v="Sjövägen"/>
    <x v="8"/>
    <s v="6:67"/>
    <s v="Bertil Kalström"/>
    <n v="1500"/>
    <d v="2014-08-07T00:00:00"/>
    <n v="34"/>
    <n v="0"/>
    <m/>
  </r>
  <r>
    <n v="12"/>
    <s v="Sjövägen"/>
    <x v="8"/>
    <s v="6:55"/>
    <s v="Daniel o Therese Wiberg"/>
    <n v="1500"/>
    <d v="2014-08-29T00:00:00"/>
    <n v="45"/>
    <n v="0"/>
    <m/>
  </r>
  <r>
    <n v="13"/>
    <s v="Sjövägen"/>
    <x v="8"/>
    <s v="6:66"/>
    <s v="Göran Sand"/>
    <n v="1500"/>
    <d v="2014-05-30T00:00:00"/>
    <n v="8"/>
    <n v="0"/>
    <s v="Betalat 150 kr för lite 2012-2013"/>
  </r>
  <r>
    <n v="14"/>
    <s v="Sjövägen"/>
    <x v="8"/>
    <s v="6:57"/>
    <s v="Birgitta o Tom Wärmé"/>
    <n v="1500"/>
    <d v="2014-08-25T00:00:00"/>
    <n v="40"/>
    <n v="0"/>
    <m/>
  </r>
  <r>
    <n v="16"/>
    <s v="Sjövägen"/>
    <x v="8"/>
    <s v="6:58"/>
    <s v="Lena Heitman/Rolf Friberg"/>
    <n v="1500"/>
    <d v="2014-07-31T00:00:00"/>
    <n v="31"/>
    <n v="0"/>
    <m/>
  </r>
  <r>
    <n v="18"/>
    <s v="Sjövägen"/>
    <x v="8"/>
    <s v="6:59"/>
    <s v="Ulla Haglund"/>
    <n v="1500"/>
    <d v="2014-08-27T00:00:00"/>
    <n v="42"/>
    <n v="0"/>
    <s v="Nina Kilander"/>
  </r>
  <r>
    <n v="20"/>
    <s v="Sjövägen"/>
    <x v="8"/>
    <s v="6:64"/>
    <s v="Hasan Ali o Hasina Akther"/>
    <n v="1500"/>
    <d v="2014-07-28T00:00:00"/>
    <n v="27"/>
    <n v="0"/>
    <m/>
  </r>
  <r>
    <n v="22"/>
    <s v="Sjövägen"/>
    <x v="8"/>
    <s v="6:65"/>
    <s v="Robert Nyberg"/>
    <n v="1500"/>
    <d v="2014-07-21T00:00:00"/>
    <n v="23"/>
    <n v="0"/>
    <m/>
  </r>
  <r>
    <n v="1"/>
    <s v="Syrenvägen"/>
    <x v="9"/>
    <s v="6:110"/>
    <s v="Ulla Sandberg"/>
    <n v="1500"/>
    <d v="2014-09-08T00:00:00"/>
    <n v="54"/>
    <n v="0"/>
    <m/>
  </r>
  <r>
    <n v="3"/>
    <s v="Syrenvägen"/>
    <x v="9"/>
    <s v="6:108"/>
    <s v="Marianne Olsson"/>
    <n v="1500"/>
    <d v="2014-08-25T00:00:00"/>
    <n v="40"/>
    <n v="0"/>
    <m/>
  </r>
  <r>
    <n v="4"/>
    <s v="Syrenvägen"/>
    <x v="9"/>
    <s v="6:113"/>
    <s v="Gösta Heljesten"/>
    <n v="1500"/>
    <d v="2014-08-01T00:00:00"/>
    <n v="32"/>
    <n v="0"/>
    <m/>
  </r>
  <r>
    <n v="6"/>
    <s v="Syrenvägen"/>
    <x v="9"/>
    <s v="6:111"/>
    <s v="Björn o Ingalill Norrblom"/>
    <n v="1500"/>
    <d v="2014-08-29T00:00:00"/>
    <n v="45"/>
    <n v="0"/>
    <m/>
  </r>
  <r>
    <n v="3"/>
    <s v="Trollvägen"/>
    <x v="10"/>
    <s v="6:63"/>
    <s v="Lena o Sune Danielsson"/>
    <n v="1500"/>
    <d v="2014-08-28T00:00:00"/>
    <n v="45"/>
    <n v="0"/>
    <m/>
  </r>
  <r>
    <n v="4"/>
    <s v="Trollvägen"/>
    <x v="10"/>
    <s v="6:60"/>
    <s v="Rose-Marie Persson"/>
    <n v="1500"/>
    <d v="2014-07-21T00:00:00"/>
    <n v="23"/>
    <n v="0"/>
    <m/>
  </r>
  <r>
    <n v="6"/>
    <s v="Trollvägen"/>
    <x v="10"/>
    <s v="6:61"/>
    <s v="Mikael Rydberg"/>
    <n v="1500"/>
    <d v="2014-09-30T00:00:00"/>
    <n v="57"/>
    <n v="0"/>
    <m/>
  </r>
  <r>
    <n v="8"/>
    <s v="Trollvägen"/>
    <x v="10"/>
    <s v="6:62"/>
    <s v="Niklas Haglund"/>
    <n v="1500"/>
    <d v="2014-07-25T00:00:00"/>
    <n v="26"/>
    <n v="0"/>
    <m/>
  </r>
  <r>
    <m/>
    <s v="Vitsjö Gård"/>
    <x v="11"/>
    <s v="5:9"/>
    <s v="Margareta Åsberg"/>
    <n v="1500"/>
    <d v="2014-07-31T00:00:00"/>
    <n v="31"/>
    <n v="0"/>
    <m/>
  </r>
  <r>
    <n v="2"/>
    <s v="Vårvägen"/>
    <x v="12"/>
    <s v="6:97"/>
    <s v="Olle o Ingrid Moström"/>
    <n v="1500"/>
    <d v="2014-07-28T00:00:00"/>
    <n v="27"/>
    <n v="0"/>
    <m/>
  </r>
  <r>
    <n v="3"/>
    <s v="Vårvägen"/>
    <x v="12"/>
    <s v="6:88"/>
    <s v="Per Söderberg"/>
    <n v="1500"/>
    <d v="2014-07-28T00:00:00"/>
    <n v="27"/>
    <n v="0"/>
    <m/>
  </r>
  <r>
    <n v="4"/>
    <s v="Vårvägen"/>
    <x v="12"/>
    <s v="6:96"/>
    <s v="Lars-Göran Persson"/>
    <n v="1500"/>
    <d v="2014-07-21T00:00:00"/>
    <n v="23"/>
    <n v="0"/>
    <m/>
  </r>
  <r>
    <n v="5"/>
    <s v="Vårvägen"/>
    <x v="12"/>
    <s v="6:87"/>
    <s v="Britt Arleheim"/>
    <n v="1500"/>
    <d v="2014-08-29T00:00:00"/>
    <n v="45"/>
    <n v="0"/>
    <m/>
  </r>
  <r>
    <n v="6"/>
    <s v="Vårvägen"/>
    <x v="12"/>
    <s v="6:94"/>
    <s v="Carina o Lars-Eric Ekdahl"/>
    <n v="1500"/>
    <d v="2014-08-29T00:00:00"/>
    <n v="45"/>
    <n v="0"/>
    <m/>
  </r>
  <r>
    <n v="8"/>
    <s v="Vårvägen"/>
    <x v="12"/>
    <s v="6:92"/>
    <s v="Kjell Skanning"/>
    <n v="1500"/>
    <d v="2014-08-08T00:00:00"/>
    <n v="35"/>
    <n v="0"/>
    <m/>
  </r>
  <r>
    <n v="10"/>
    <s v="Vårvägen"/>
    <x v="12"/>
    <s v="6:90"/>
    <s v="Anna o Gustav Jakobsson"/>
    <n v="1500"/>
    <d v="2014-08-08T00:00:00"/>
    <n v="38"/>
    <n v="0"/>
    <m/>
  </r>
  <r>
    <n v="4"/>
    <s v="Åkervägen"/>
    <x v="13"/>
    <s v="6:29"/>
    <s v="Marietta Jurefors"/>
    <n v="1500"/>
    <d v="2014-07-23T00:00:00"/>
    <n v="24"/>
    <n v="0"/>
    <m/>
  </r>
  <r>
    <n v="6"/>
    <s v="Åkervägen"/>
    <x v="13"/>
    <s v="6:30"/>
    <s v="Mia Sköldén"/>
    <n v="1500"/>
    <d v="2014-08-29T00:00:00"/>
    <n v="45"/>
    <n v="0"/>
    <m/>
  </r>
  <r>
    <n v="8"/>
    <s v="Åkervägen"/>
    <x v="13"/>
    <s v="6:31"/>
    <s v="Björn o Stina Falkenström"/>
    <n v="1500"/>
    <d v="2014-08-01T00:00:00"/>
    <n v="32"/>
    <n v="0"/>
    <m/>
  </r>
  <r>
    <n v="10"/>
    <s v="Åkervägen"/>
    <x v="13"/>
    <s v="6:32"/>
    <s v="Robert Staflin"/>
    <n v="1500"/>
    <d v="2014-09-08T00:00:00"/>
    <n v="54"/>
    <n v="0"/>
    <s v="Tidigare Anders nordenskiöld"/>
  </r>
  <r>
    <n v="12"/>
    <s v="Åkervägen"/>
    <x v="13"/>
    <s v="6:33"/>
    <s v="John Mikael Wilhelmsson"/>
    <n v="1500"/>
    <d v="2014-08-29T00:00:00"/>
    <n v="45"/>
    <n v="0"/>
    <m/>
  </r>
  <r>
    <n v="14"/>
    <s v="Åkervägen"/>
    <x v="13"/>
    <s v="6:34"/>
    <s v="Peter Johansson"/>
    <n v="1500"/>
    <d v="2014-08-29T00:00:00"/>
    <n v="45"/>
    <n v="0"/>
    <m/>
  </r>
  <r>
    <n v="2"/>
    <s v="Åvägen"/>
    <x v="14"/>
    <s v="6:22"/>
    <s v="Ingrid Staflin"/>
    <n v="1500"/>
    <d v="2014-07-17T00:00:00"/>
    <n v="22"/>
    <n v="0"/>
    <s v="Tidigare AnnCharlotte Blom"/>
  </r>
  <r>
    <n v="4"/>
    <s v="Åvägen"/>
    <x v="14"/>
    <s v="6:23"/>
    <s v="Tina Nilsson/Jan Sjödahl"/>
    <n v="1500"/>
    <d v="2014-07-28T00:00:00"/>
    <n v="27"/>
    <n v="0"/>
    <s v="Gift sig? Jan Johansson?"/>
  </r>
  <r>
    <n v="3"/>
    <s v="Ängsvägen"/>
    <x v="15"/>
    <s v="6:38"/>
    <s v="Ann-Christin Edblad"/>
    <n v="1500"/>
    <d v="2014-08-29T00:00:00"/>
    <n v="45"/>
    <n v="0"/>
    <m/>
  </r>
  <r>
    <n v="4"/>
    <s v="Ängsvägen"/>
    <x v="15"/>
    <s v="6:28"/>
    <s v="Tore Boström"/>
    <n v="1500"/>
    <d v="2014-08-29T00:00:00"/>
    <n v="45"/>
    <n v="0"/>
    <m/>
  </r>
  <r>
    <n v="5"/>
    <s v="Ängsvägen"/>
    <x v="15"/>
    <s v="6:37"/>
    <s v="Ulla Björkegren"/>
    <n v="1500"/>
    <d v="2014-08-01T00:00:00"/>
    <n v="32"/>
    <n v="0"/>
    <m/>
  </r>
  <r>
    <n v="7"/>
    <s v="Ängsvägen"/>
    <x v="15"/>
    <s v="6:36"/>
    <s v="Lailaa Jonsson"/>
    <n v="1500"/>
    <d v="2014-07-28T00:00:00"/>
    <n v="27"/>
    <n v="0"/>
    <m/>
  </r>
  <r>
    <n v="9"/>
    <s v="Ängsvägen"/>
    <x v="15"/>
    <s v="6:35"/>
    <s v="Bo o Annica Rönnqvist"/>
    <n v="1500"/>
    <d v="2014-08-29T00:00:00"/>
    <n v="45"/>
    <n v="0"/>
    <m/>
  </r>
  <r>
    <n v="11"/>
    <s v="Ängsvägen"/>
    <x v="15"/>
    <s v="6:45"/>
    <s v="Annika och Roger Örneholm"/>
    <n v="1500"/>
    <d v="2014-09-08T00:00:00"/>
    <n v="54"/>
    <n v="0"/>
    <s v="Tidigare Harriet Björklund"/>
  </r>
  <r>
    <n v="13"/>
    <s v="Ängsvägen"/>
    <x v="15"/>
    <s v="6:46"/>
    <s v="Jan o Bitte Haversten"/>
    <n v="1500"/>
    <d v="2014-08-29T00:00:00"/>
    <n v="45"/>
    <n v="0"/>
    <m/>
  </r>
  <r>
    <n v="15"/>
    <s v="Ängsvägen"/>
    <x v="15"/>
    <s v="6:48"/>
    <s v="Birgitta Agbro"/>
    <n v="1500"/>
    <d v="2014-08-15T00:00:00"/>
    <n v="37"/>
    <n v="0"/>
    <m/>
  </r>
  <r>
    <n v="17"/>
    <s v="Ängsvägen"/>
    <x v="15"/>
    <s v="6:49"/>
    <s v="Stefen Ceder"/>
    <n v="1500"/>
    <d v="2014-07-31T00:00:00"/>
    <n v="31"/>
    <n v="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ell1" cacheId="0" applyNumberFormats="0" applyBorderFormats="0" applyFontFormats="0" applyPatternFormats="0" applyAlignmentFormats="0" applyWidthHeightFormats="1" dataCaption="Värden" updatedVersion="4" minRefreshableVersion="3" useAutoFormatting="1" itemPrintTitles="1" createdVersion="4" indent="0" outline="1" outlineData="1" multipleFieldFilters="0">
  <location ref="A3:D20" firstHeaderRow="0" firstDataRow="1" firstDataCol="1"/>
  <pivotFields count="10">
    <pivotField showAll="0"/>
    <pivotField showAll="0" defaultSubtotal="0"/>
    <pivotField axis="axisRow" showAll="0" defaultSubtotal="0">
      <items count="16">
        <item x="8"/>
        <item x="0"/>
        <item x="1"/>
        <item x="7"/>
        <item x="6"/>
        <item x="14"/>
        <item x="10"/>
        <item x="5"/>
        <item x="3"/>
        <item x="2"/>
        <item x="9"/>
        <item x="4"/>
        <item x="11"/>
        <item x="12"/>
        <item x="13"/>
        <item x="15"/>
      </items>
    </pivotField>
    <pivotField showAll="0"/>
    <pivotField showAll="0"/>
    <pivotField dataField="1" showAll="0" defaultSubtotal="0"/>
    <pivotField showAll="0"/>
    <pivotField showAll="0"/>
    <pivotField dataField="1" numFmtId="3" showAll="0"/>
    <pivotField showAll="0"/>
  </pivotFields>
  <rowFields count="1">
    <field x="2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Antal av Betalt" fld="5" subtotal="count" baseField="0" baseItem="0"/>
    <dataField name="Summa av Betalt" fld="5" baseField="0" baseItem="0"/>
    <dataField name="Summa av Ej betalt" fld="8" baseField="0" baseItem="0"/>
  </dataFields>
  <formats count="1"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pivotTable" Target="../pivotTables/pivotTable1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https://ssop1.skatteverket.se/sk/ska/sorteraBokfTrans.do?valdSortnyckel=belSkm" TargetMode="External"/><Relationship Id="rId2" Type="http://schemas.openxmlformats.org/officeDocument/2006/relationships/hyperlink" Target="https://ssop1.skatteverket.se/sk/ska/sorteraBokfTrans.do?valdSortnyckel=transradText" TargetMode="External"/><Relationship Id="rId1" Type="http://schemas.openxmlformats.org/officeDocument/2006/relationships/hyperlink" Target="https://ssop1.skatteverket.se/sk/ska/sorteraBokfTrans.do?valdSortnyckel=datTrans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69"/>
  <sheetViews>
    <sheetView topLeftCell="A44" zoomScaleNormal="100" workbookViewId="0">
      <selection activeCell="G75" sqref="G75"/>
    </sheetView>
  </sheetViews>
  <sheetFormatPr defaultRowHeight="12.75" x14ac:dyDescent="0.2"/>
  <cols>
    <col min="1" max="1" width="33.85546875" style="30" customWidth="1"/>
    <col min="2" max="3" width="16.140625" style="30" customWidth="1"/>
    <col min="4" max="4" width="20" style="30" customWidth="1"/>
    <col min="5" max="5" width="14.42578125" style="30" customWidth="1"/>
    <col min="6" max="6" width="18.42578125" style="30" customWidth="1"/>
    <col min="7" max="7" width="15.42578125" style="30" customWidth="1"/>
    <col min="8" max="9" width="10.140625" style="30" bestFit="1" customWidth="1"/>
    <col min="10" max="16384" width="9.140625" style="30"/>
  </cols>
  <sheetData>
    <row r="1" spans="1:8" x14ac:dyDescent="0.2">
      <c r="A1" s="1" t="s">
        <v>716</v>
      </c>
    </row>
    <row r="3" spans="1:8" ht="24.75" x14ac:dyDescent="0.5">
      <c r="A3" s="29" t="s">
        <v>55</v>
      </c>
      <c r="F3" s="37"/>
    </row>
    <row r="4" spans="1:8" ht="14.25" x14ac:dyDescent="0.2">
      <c r="A4" s="31" t="s">
        <v>56</v>
      </c>
      <c r="F4" s="2"/>
    </row>
    <row r="5" spans="1:8" ht="14.25" x14ac:dyDescent="0.2">
      <c r="A5" s="31"/>
      <c r="F5" s="293"/>
      <c r="G5" s="212"/>
      <c r="H5" s="212"/>
    </row>
    <row r="6" spans="1:8" ht="15.75" x14ac:dyDescent="0.2">
      <c r="A6" s="32" t="s">
        <v>585</v>
      </c>
      <c r="D6" s="33"/>
      <c r="F6" s="293"/>
      <c r="G6" s="212"/>
      <c r="H6" s="212"/>
    </row>
    <row r="7" spans="1:8" x14ac:dyDescent="0.2">
      <c r="D7" s="34"/>
      <c r="F7" s="293"/>
      <c r="G7" s="212"/>
      <c r="H7" s="212"/>
    </row>
    <row r="8" spans="1:8" ht="25.5" x14ac:dyDescent="0.2">
      <c r="A8" s="74"/>
      <c r="B8" s="75" t="s">
        <v>586</v>
      </c>
      <c r="C8" s="75" t="s">
        <v>587</v>
      </c>
      <c r="D8" s="226" t="s">
        <v>470</v>
      </c>
      <c r="E8" s="212"/>
      <c r="F8" s="417"/>
      <c r="G8" s="417"/>
      <c r="H8" s="212"/>
    </row>
    <row r="9" spans="1:8" ht="28.5" customHeight="1" thickBot="1" x14ac:dyDescent="0.25">
      <c r="A9" s="72"/>
      <c r="B9" s="73" t="s">
        <v>88</v>
      </c>
      <c r="C9" s="73" t="s">
        <v>88</v>
      </c>
      <c r="D9" s="227" t="s">
        <v>88</v>
      </c>
      <c r="E9" s="320"/>
      <c r="F9" s="320"/>
      <c r="G9" s="320"/>
      <c r="H9" s="212"/>
    </row>
    <row r="10" spans="1:8" x14ac:dyDescent="0.2">
      <c r="A10" s="71" t="s">
        <v>57</v>
      </c>
      <c r="B10" s="213">
        <f>D51</f>
        <v>59861.74</v>
      </c>
      <c r="C10" s="70">
        <f>D51</f>
        <v>59861.74</v>
      </c>
      <c r="D10" s="228">
        <v>58413.919999999998</v>
      </c>
      <c r="F10" s="293"/>
      <c r="G10" s="293"/>
      <c r="H10" s="212"/>
    </row>
    <row r="11" spans="1:8" x14ac:dyDescent="0.2">
      <c r="A11" s="1"/>
      <c r="B11" s="66"/>
      <c r="C11" s="66"/>
      <c r="D11" s="229"/>
      <c r="F11" s="212"/>
      <c r="G11" s="212"/>
      <c r="H11" s="212"/>
    </row>
    <row r="12" spans="1:8" ht="15.95" customHeight="1" x14ac:dyDescent="0.2">
      <c r="A12" s="1" t="s">
        <v>0</v>
      </c>
      <c r="B12" s="67"/>
      <c r="C12" s="67"/>
      <c r="D12" s="230"/>
      <c r="F12" s="212"/>
      <c r="G12" s="212"/>
      <c r="H12" s="212"/>
    </row>
    <row r="13" spans="1:8" ht="15.95" customHeight="1" x14ac:dyDescent="0.2">
      <c r="A13" s="21" t="s">
        <v>1</v>
      </c>
      <c r="B13" s="68">
        <f>Bokföring!I105-Bokföring!H105</f>
        <v>174250.6</v>
      </c>
      <c r="C13" s="68">
        <f>117*1500</f>
        <v>175500</v>
      </c>
      <c r="D13" s="231">
        <v>218916</v>
      </c>
      <c r="F13" s="296"/>
      <c r="G13" s="418"/>
      <c r="H13" s="293"/>
    </row>
    <row r="14" spans="1:8" ht="15.95" customHeight="1" x14ac:dyDescent="0.2">
      <c r="A14" s="21" t="s">
        <v>362</v>
      </c>
      <c r="B14" s="67">
        <f>Bokföring!M105</f>
        <v>100</v>
      </c>
      <c r="C14" s="68">
        <v>300</v>
      </c>
      <c r="D14" s="230">
        <v>300</v>
      </c>
      <c r="F14" s="296"/>
      <c r="G14" s="418"/>
      <c r="H14" s="212"/>
    </row>
    <row r="15" spans="1:8" ht="15.95" customHeight="1" x14ac:dyDescent="0.2">
      <c r="A15" s="21" t="s">
        <v>58</v>
      </c>
      <c r="B15" s="68">
        <f>Bokföring!K105</f>
        <v>7618</v>
      </c>
      <c r="C15" s="68">
        <v>8000</v>
      </c>
      <c r="D15" s="231">
        <v>8034</v>
      </c>
      <c r="F15" s="296"/>
      <c r="G15" s="418"/>
      <c r="H15" s="212"/>
    </row>
    <row r="16" spans="1:8" ht="15.95" customHeight="1" x14ac:dyDescent="0.2">
      <c r="A16" s="21" t="s">
        <v>59</v>
      </c>
      <c r="B16" s="68">
        <v>0</v>
      </c>
      <c r="C16" s="68">
        <v>0</v>
      </c>
      <c r="D16" s="231">
        <v>0</v>
      </c>
      <c r="F16" s="296"/>
      <c r="G16" s="418"/>
      <c r="H16" s="212"/>
    </row>
    <row r="17" spans="1:8" ht="15.95" customHeight="1" x14ac:dyDescent="0.2">
      <c r="A17" s="21" t="s">
        <v>60</v>
      </c>
      <c r="B17" s="68">
        <f>Bokföring!O105-B16</f>
        <v>0</v>
      </c>
      <c r="C17" s="68">
        <v>0</v>
      </c>
      <c r="D17" s="231">
        <v>0</v>
      </c>
      <c r="F17" s="296"/>
      <c r="G17" s="418"/>
      <c r="H17" s="212"/>
    </row>
    <row r="18" spans="1:8" ht="15.95" customHeight="1" x14ac:dyDescent="0.2">
      <c r="A18" s="21" t="s">
        <v>61</v>
      </c>
      <c r="B18" s="68">
        <f>0</f>
        <v>0</v>
      </c>
      <c r="C18" s="68">
        <v>0</v>
      </c>
      <c r="D18" s="231">
        <v>0</v>
      </c>
      <c r="F18" s="296"/>
      <c r="G18" s="418"/>
      <c r="H18" s="212"/>
    </row>
    <row r="19" spans="1:8" ht="15.95" customHeight="1" x14ac:dyDescent="0.2">
      <c r="A19" s="1" t="s">
        <v>62</v>
      </c>
      <c r="B19" s="69">
        <v>0</v>
      </c>
      <c r="C19" s="69">
        <f>0</f>
        <v>0</v>
      </c>
      <c r="D19" s="232">
        <v>0</v>
      </c>
      <c r="F19" s="296"/>
      <c r="G19" s="296"/>
      <c r="H19" s="212"/>
    </row>
    <row r="20" spans="1:8" ht="15.95" customHeight="1" x14ac:dyDescent="0.2">
      <c r="A20" s="1" t="s">
        <v>2</v>
      </c>
      <c r="B20" s="69">
        <f>SUM(B13:B19)</f>
        <v>181968.6</v>
      </c>
      <c r="C20" s="69">
        <f>SUM(C13:C19)</f>
        <v>183800</v>
      </c>
      <c r="D20" s="232">
        <v>227250</v>
      </c>
      <c r="F20" s="419"/>
      <c r="G20" s="419"/>
      <c r="H20" s="212"/>
    </row>
    <row r="21" spans="1:8" ht="15.95" customHeight="1" x14ac:dyDescent="0.2">
      <c r="A21" s="2"/>
      <c r="B21" s="67"/>
      <c r="C21" s="67"/>
      <c r="D21" s="230"/>
      <c r="F21" s="296"/>
      <c r="G21" s="296"/>
      <c r="H21" s="212"/>
    </row>
    <row r="22" spans="1:8" ht="15.95" customHeight="1" x14ac:dyDescent="0.2">
      <c r="A22" s="2"/>
      <c r="B22" s="67"/>
      <c r="C22" s="67"/>
      <c r="D22" s="230"/>
      <c r="F22" s="296"/>
      <c r="G22" s="296"/>
      <c r="H22" s="212"/>
    </row>
    <row r="23" spans="1:8" ht="15.95" customHeight="1" x14ac:dyDescent="0.2">
      <c r="A23" s="1" t="s">
        <v>3</v>
      </c>
      <c r="B23" s="67"/>
      <c r="C23" s="67"/>
      <c r="D23" s="230"/>
      <c r="F23" s="296"/>
      <c r="G23" s="296"/>
      <c r="H23" s="212"/>
    </row>
    <row r="24" spans="1:8" ht="15.95" customHeight="1" x14ac:dyDescent="0.2">
      <c r="A24" s="21" t="s">
        <v>4</v>
      </c>
      <c r="B24" s="67">
        <f>Bokföring!P105</f>
        <v>0</v>
      </c>
      <c r="C24" s="67">
        <v>0</v>
      </c>
      <c r="D24" s="230">
        <v>64350</v>
      </c>
      <c r="F24" s="296"/>
      <c r="G24" s="419"/>
      <c r="H24" s="212"/>
    </row>
    <row r="25" spans="1:8" ht="15.95" customHeight="1" x14ac:dyDescent="0.2">
      <c r="A25" s="21" t="s">
        <v>5</v>
      </c>
      <c r="B25" s="67">
        <f>Bokföring!R105</f>
        <v>18404.900000000001</v>
      </c>
      <c r="C25" s="67">
        <v>16000</v>
      </c>
      <c r="D25" s="230">
        <v>15281.95</v>
      </c>
      <c r="F25" s="296"/>
      <c r="G25" s="419"/>
      <c r="H25" s="212"/>
    </row>
    <row r="26" spans="1:8" ht="15.95" customHeight="1" x14ac:dyDescent="0.2">
      <c r="A26" s="21" t="s">
        <v>6</v>
      </c>
      <c r="B26" s="68">
        <f>Bokföring!T105</f>
        <v>8173</v>
      </c>
      <c r="C26" s="278">
        <v>13000</v>
      </c>
      <c r="D26" s="231">
        <v>31920</v>
      </c>
      <c r="F26" s="296"/>
      <c r="G26" s="419"/>
      <c r="H26" s="212"/>
    </row>
    <row r="27" spans="1:8" ht="15.95" customHeight="1" x14ac:dyDescent="0.2">
      <c r="A27" s="233" t="s">
        <v>582</v>
      </c>
      <c r="B27" s="236">
        <f>Bokföring!T105-B28</f>
        <v>5173</v>
      </c>
      <c r="C27" s="234">
        <v>5000</v>
      </c>
      <c r="D27" s="237">
        <v>29201</v>
      </c>
      <c r="F27" s="420"/>
      <c r="G27" s="420"/>
      <c r="H27" s="212"/>
    </row>
    <row r="28" spans="1:8" ht="15.95" customHeight="1" x14ac:dyDescent="0.2">
      <c r="A28" s="233" t="s">
        <v>583</v>
      </c>
      <c r="B28" s="234">
        <f>Bokföring!T102</f>
        <v>3000</v>
      </c>
      <c r="C28" s="234">
        <v>8000</v>
      </c>
      <c r="D28" s="235">
        <v>2719</v>
      </c>
      <c r="F28" s="420"/>
      <c r="G28" s="420"/>
      <c r="H28" s="212"/>
    </row>
    <row r="29" spans="1:8" ht="15.95" customHeight="1" x14ac:dyDescent="0.2">
      <c r="A29" s="21" t="s">
        <v>581</v>
      </c>
      <c r="B29" s="68">
        <f>Bokföring!V105</f>
        <v>16938</v>
      </c>
      <c r="C29" s="67">
        <v>25000</v>
      </c>
      <c r="D29" s="231">
        <v>16724</v>
      </c>
      <c r="E29" s="282"/>
      <c r="F29" s="421"/>
      <c r="G29" s="422"/>
      <c r="H29" s="212"/>
    </row>
    <row r="30" spans="1:8" ht="15.95" customHeight="1" x14ac:dyDescent="0.2">
      <c r="A30" s="21" t="s">
        <v>384</v>
      </c>
      <c r="B30" s="68">
        <f>Bokföring!X105</f>
        <v>26758.48</v>
      </c>
      <c r="C30" s="67">
        <v>28300</v>
      </c>
      <c r="D30" s="231">
        <v>27481.38</v>
      </c>
      <c r="F30" s="421"/>
      <c r="G30" s="422"/>
      <c r="H30" s="212"/>
    </row>
    <row r="31" spans="1:8" ht="15.95" customHeight="1" x14ac:dyDescent="0.2">
      <c r="A31" s="21" t="s">
        <v>8</v>
      </c>
      <c r="B31" s="67">
        <f>Bokföring!Z105</f>
        <v>30639</v>
      </c>
      <c r="C31" s="278">
        <f>SUM(C32:C34)</f>
        <v>36250</v>
      </c>
      <c r="D31" s="230">
        <v>14493</v>
      </c>
      <c r="F31" s="421"/>
      <c r="G31" s="422"/>
      <c r="H31" s="212"/>
    </row>
    <row r="32" spans="1:8" ht="15.95" customHeight="1" x14ac:dyDescent="0.2">
      <c r="A32" s="233" t="s">
        <v>657</v>
      </c>
      <c r="B32" s="236">
        <f>Bokföring!Z36+Bokföring!Z70+Bokföring!Z79</f>
        <v>14937</v>
      </c>
      <c r="C32" s="387">
        <v>15000</v>
      </c>
      <c r="D32" s="237">
        <v>2100</v>
      </c>
      <c r="F32" s="423"/>
      <c r="G32" s="423"/>
      <c r="H32" s="212"/>
    </row>
    <row r="33" spans="1:8" ht="15.95" customHeight="1" x14ac:dyDescent="0.2">
      <c r="A33" s="233" t="s">
        <v>656</v>
      </c>
      <c r="B33" s="234">
        <v>0</v>
      </c>
      <c r="C33" s="387">
        <v>0</v>
      </c>
      <c r="D33" s="235">
        <v>0</v>
      </c>
      <c r="F33" s="423"/>
      <c r="G33" s="423"/>
      <c r="H33" s="212"/>
    </row>
    <row r="34" spans="1:8" ht="15.95" customHeight="1" x14ac:dyDescent="0.2">
      <c r="A34" s="233" t="s">
        <v>658</v>
      </c>
      <c r="B34" s="234">
        <f>Bokföring!Z29+Bokföring!Z66+Bokföring!Z77+Bokföring!Z78</f>
        <v>15702</v>
      </c>
      <c r="C34" s="387">
        <f>15000+6250</f>
        <v>21250</v>
      </c>
      <c r="D34" s="237">
        <v>12393</v>
      </c>
      <c r="F34" s="423"/>
      <c r="G34" s="423"/>
      <c r="H34" s="212"/>
    </row>
    <row r="35" spans="1:8" ht="15.95" customHeight="1" x14ac:dyDescent="0.2">
      <c r="A35" s="21" t="s">
        <v>63</v>
      </c>
      <c r="B35" s="67">
        <f>Bokföring!AF105</f>
        <v>9770</v>
      </c>
      <c r="C35" s="388">
        <v>9770</v>
      </c>
      <c r="D35" s="230">
        <v>9370</v>
      </c>
      <c r="F35" s="421"/>
      <c r="G35" s="422"/>
      <c r="H35" s="212"/>
    </row>
    <row r="36" spans="1:8" ht="15.95" customHeight="1" x14ac:dyDescent="0.2">
      <c r="A36" s="21" t="s">
        <v>9</v>
      </c>
      <c r="B36" s="68">
        <f>Bokföring!AH105</f>
        <v>9400</v>
      </c>
      <c r="C36" s="388">
        <v>8200</v>
      </c>
      <c r="D36" s="231">
        <v>6800</v>
      </c>
      <c r="F36" s="421"/>
      <c r="G36" s="422"/>
      <c r="H36" s="212"/>
    </row>
    <row r="37" spans="1:8" ht="15.95" customHeight="1" x14ac:dyDescent="0.2">
      <c r="A37" s="21" t="s">
        <v>10</v>
      </c>
      <c r="B37" s="68">
        <f>Bokföring!AD105</f>
        <v>22984</v>
      </c>
      <c r="C37" s="388">
        <v>20500</v>
      </c>
      <c r="D37" s="231">
        <v>21336</v>
      </c>
      <c r="F37" s="421"/>
      <c r="G37" s="422"/>
      <c r="H37" s="212"/>
    </row>
    <row r="38" spans="1:8" ht="15.95" customHeight="1" x14ac:dyDescent="0.2">
      <c r="A38" s="21" t="s">
        <v>560</v>
      </c>
      <c r="B38" s="68">
        <f>Bokföring!AR88+Bokföring!AR87</f>
        <v>3360</v>
      </c>
      <c r="C38" s="388">
        <v>2260</v>
      </c>
      <c r="D38" s="231">
        <v>1160</v>
      </c>
      <c r="F38" s="421"/>
      <c r="G38" s="422"/>
      <c r="H38" s="212"/>
    </row>
    <row r="39" spans="1:8" ht="15.95" customHeight="1" x14ac:dyDescent="0.2">
      <c r="A39" s="21" t="s">
        <v>11</v>
      </c>
      <c r="B39" s="68">
        <f>Bokföring!AR10+Bokföring!AR83+Bokföring!AR85</f>
        <v>50</v>
      </c>
      <c r="C39" s="388">
        <v>650</v>
      </c>
      <c r="D39" s="231">
        <v>650</v>
      </c>
      <c r="F39" s="421"/>
      <c r="G39" s="422"/>
      <c r="H39" s="212"/>
    </row>
    <row r="40" spans="1:8" ht="15.95" customHeight="1" x14ac:dyDescent="0.2">
      <c r="A40" s="21" t="s">
        <v>12</v>
      </c>
      <c r="B40" s="68">
        <f>Bokföring!AP105</f>
        <v>469.5</v>
      </c>
      <c r="C40" s="388">
        <v>470</v>
      </c>
      <c r="D40" s="231">
        <v>471</v>
      </c>
      <c r="F40" s="421"/>
      <c r="G40" s="422"/>
      <c r="H40" s="296"/>
    </row>
    <row r="41" spans="1:8" ht="15.95" customHeight="1" x14ac:dyDescent="0.2">
      <c r="A41" s="21" t="s">
        <v>90</v>
      </c>
      <c r="B41" s="68">
        <f>Bokföring!AR13+Bokföring!AR20</f>
        <v>1967</v>
      </c>
      <c r="C41" s="388">
        <v>1300</v>
      </c>
      <c r="D41" s="231">
        <v>1324.7</v>
      </c>
      <c r="E41" s="2"/>
      <c r="F41" s="421"/>
      <c r="G41" s="422"/>
      <c r="H41" s="212"/>
    </row>
    <row r="42" spans="1:8" ht="15.95" customHeight="1" x14ac:dyDescent="0.2">
      <c r="A42" s="21" t="s">
        <v>13</v>
      </c>
      <c r="B42" s="68">
        <f>Bokföring!AR51</f>
        <v>1625</v>
      </c>
      <c r="C42" s="388">
        <v>1700</v>
      </c>
      <c r="D42" s="231">
        <v>1625</v>
      </c>
      <c r="F42" s="421"/>
      <c r="G42" s="422"/>
      <c r="H42" s="212"/>
    </row>
    <row r="43" spans="1:8" ht="15.95" customHeight="1" x14ac:dyDescent="0.2">
      <c r="A43" s="21" t="s">
        <v>14</v>
      </c>
      <c r="B43" s="68">
        <f>Bokföring!AN105</f>
        <v>2418</v>
      </c>
      <c r="C43" s="388">
        <v>2400</v>
      </c>
      <c r="D43" s="231">
        <v>2358</v>
      </c>
      <c r="F43" s="421"/>
      <c r="G43" s="422"/>
      <c r="H43" s="212"/>
    </row>
    <row r="44" spans="1:8" ht="15.95" customHeight="1" x14ac:dyDescent="0.2">
      <c r="A44" s="21" t="s">
        <v>15</v>
      </c>
      <c r="B44" s="68">
        <f>Bokföring!AB105</f>
        <v>3600</v>
      </c>
      <c r="C44" s="388">
        <v>15000</v>
      </c>
      <c r="D44" s="231">
        <v>10028</v>
      </c>
      <c r="F44" s="421"/>
      <c r="G44" s="422"/>
      <c r="H44" s="212"/>
    </row>
    <row r="45" spans="1:8" ht="15.95" customHeight="1" x14ac:dyDescent="0.2">
      <c r="A45" s="21" t="s">
        <v>89</v>
      </c>
      <c r="B45" s="238">
        <f>Bokföring!AJ105+Bokföring!AL105</f>
        <v>782.9</v>
      </c>
      <c r="C45" s="388">
        <v>1500</v>
      </c>
      <c r="D45" s="239">
        <v>429.15</v>
      </c>
      <c r="F45" s="421"/>
      <c r="G45" s="422"/>
      <c r="H45" s="212"/>
    </row>
    <row r="46" spans="1:8" ht="15.95" customHeight="1" x14ac:dyDescent="0.2">
      <c r="A46" s="21" t="s">
        <v>27</v>
      </c>
      <c r="B46" s="67">
        <f>Bokföring!AR105-'Budget_Utf 2014-15'!B42-'Budget_Utf 2014-15'!B41-'Budget_Utf 2014-15'!B39-'Budget_Utf 2014-15'!B38-B47</f>
        <v>2500</v>
      </c>
      <c r="C46" s="388">
        <v>1500</v>
      </c>
      <c r="D46" s="230">
        <v>0</v>
      </c>
      <c r="F46" s="421"/>
      <c r="G46" s="422"/>
      <c r="H46" s="212"/>
    </row>
    <row r="47" spans="1:8" ht="15.95" customHeight="1" x14ac:dyDescent="0.2">
      <c r="A47" s="21" t="s">
        <v>373</v>
      </c>
      <c r="B47" s="67">
        <f>Bokföring!AR89</f>
        <v>450</v>
      </c>
      <c r="C47" s="388">
        <v>0</v>
      </c>
      <c r="D47" s="230">
        <v>0</v>
      </c>
      <c r="F47" s="421"/>
      <c r="G47" s="422"/>
      <c r="H47" s="212"/>
    </row>
    <row r="48" spans="1:8" ht="15.95" customHeight="1" thickBot="1" x14ac:dyDescent="0.25">
      <c r="A48" s="21" t="s">
        <v>16</v>
      </c>
      <c r="B48" s="280">
        <v>21678.82</v>
      </c>
      <c r="C48" s="389">
        <v>0</v>
      </c>
      <c r="D48" s="281">
        <v>1447.82</v>
      </c>
      <c r="F48" s="421"/>
      <c r="G48" s="422"/>
      <c r="H48" s="212"/>
    </row>
    <row r="49" spans="1:9" ht="15.95" customHeight="1" thickTop="1" x14ac:dyDescent="0.2">
      <c r="A49" s="1" t="s">
        <v>2</v>
      </c>
      <c r="B49" s="278">
        <f>SUM(B24:B48)-B32-B33-B34-B27-B28</f>
        <v>181968.6</v>
      </c>
      <c r="C49" s="278">
        <f>SUM(C24:C48)-C27-C28-C32-C33-C34</f>
        <v>183800</v>
      </c>
      <c r="D49" s="279">
        <v>227250.00000000006</v>
      </c>
      <c r="F49" s="419"/>
      <c r="G49" s="419"/>
      <c r="H49" s="296"/>
    </row>
    <row r="50" spans="1:9" ht="15.95" customHeight="1" x14ac:dyDescent="0.2">
      <c r="A50" s="35"/>
      <c r="B50" s="2"/>
      <c r="C50" s="2"/>
      <c r="D50" s="2"/>
      <c r="E50" s="296"/>
      <c r="F50" s="296"/>
      <c r="G50" s="296"/>
      <c r="H50" s="212"/>
    </row>
    <row r="51" spans="1:9" ht="15.95" customHeight="1" x14ac:dyDescent="0.2">
      <c r="A51" s="35" t="s">
        <v>385</v>
      </c>
      <c r="B51" s="2">
        <f>B10-B19+B48+B53</f>
        <v>81540.56</v>
      </c>
      <c r="C51" s="2">
        <f>C10+C48-C19</f>
        <v>59861.74</v>
      </c>
      <c r="D51" s="2">
        <f>D10+D48</f>
        <v>59861.74</v>
      </c>
      <c r="E51" s="320" t="s">
        <v>740</v>
      </c>
      <c r="F51" s="293">
        <f>83180.56</f>
        <v>83180.56</v>
      </c>
      <c r="G51" s="296"/>
      <c r="H51" s="212"/>
    </row>
    <row r="52" spans="1:9" ht="15.95" customHeight="1" x14ac:dyDescent="0.2">
      <c r="A52" s="35"/>
      <c r="B52" s="2"/>
      <c r="C52" s="2"/>
      <c r="D52" s="2"/>
      <c r="E52" s="320" t="s">
        <v>741</v>
      </c>
      <c r="F52" s="296">
        <v>18000</v>
      </c>
      <c r="G52" s="296"/>
      <c r="H52" s="212"/>
    </row>
    <row r="53" spans="1:9" ht="15.95" customHeight="1" x14ac:dyDescent="0.2">
      <c r="A53" s="35" t="s">
        <v>387</v>
      </c>
      <c r="B53" s="2">
        <f>B20-B49</f>
        <v>0</v>
      </c>
      <c r="C53" s="2">
        <v>0</v>
      </c>
      <c r="D53" s="2">
        <v>1447.82</v>
      </c>
      <c r="E53" s="320" t="s">
        <v>35</v>
      </c>
      <c r="F53" s="296">
        <f>F51+F52</f>
        <v>101180.56</v>
      </c>
      <c r="G53" s="419"/>
      <c r="H53" s="212"/>
    </row>
    <row r="54" spans="1:9" ht="15.95" customHeight="1" x14ac:dyDescent="0.2">
      <c r="A54" s="35"/>
      <c r="B54" s="2"/>
      <c r="C54" s="2"/>
      <c r="D54" s="2"/>
      <c r="E54" s="428" t="s">
        <v>742</v>
      </c>
      <c r="F54" s="424">
        <v>-13800</v>
      </c>
      <c r="G54" s="294"/>
      <c r="H54" s="212"/>
    </row>
    <row r="55" spans="1:9" x14ac:dyDescent="0.2">
      <c r="A55" s="35" t="s">
        <v>568</v>
      </c>
      <c r="B55" s="2">
        <f>B26+B29+B30+B31</f>
        <v>82508.479999999996</v>
      </c>
      <c r="C55" s="2">
        <f>C26+C29+C30+C31</f>
        <v>102550</v>
      </c>
      <c r="D55" s="2">
        <f>D26+D29+D30+D31</f>
        <v>90618.38</v>
      </c>
      <c r="E55" s="428" t="s">
        <v>742</v>
      </c>
      <c r="F55" s="295">
        <v>-3000</v>
      </c>
      <c r="G55" s="293"/>
      <c r="H55" s="212"/>
    </row>
    <row r="56" spans="1:9" x14ac:dyDescent="0.2">
      <c r="A56" s="36" t="s">
        <v>64</v>
      </c>
      <c r="B56" s="2" t="s">
        <v>65</v>
      </c>
      <c r="C56" s="2" t="s">
        <v>65</v>
      </c>
      <c r="D56" s="2" t="s">
        <v>66</v>
      </c>
      <c r="E56" s="428" t="s">
        <v>742</v>
      </c>
      <c r="F56" s="425">
        <v>-1970</v>
      </c>
      <c r="G56" s="212"/>
      <c r="H56" s="212"/>
      <c r="I56" s="210"/>
    </row>
    <row r="57" spans="1:9" x14ac:dyDescent="0.2">
      <c r="E57" s="428" t="s">
        <v>742</v>
      </c>
      <c r="F57" s="30">
        <v>-870</v>
      </c>
      <c r="G57" s="212"/>
      <c r="H57" s="212"/>
      <c r="I57" s="210"/>
    </row>
    <row r="58" spans="1:9" x14ac:dyDescent="0.2">
      <c r="A58" s="382"/>
      <c r="B58" s="1"/>
      <c r="C58" s="2"/>
      <c r="D58" s="2"/>
      <c r="E58" s="2"/>
      <c r="F58" s="427">
        <f>SUM(F53:F57)</f>
        <v>81540.56</v>
      </c>
      <c r="G58" s="212"/>
      <c r="H58" s="212"/>
      <c r="I58" s="210"/>
    </row>
    <row r="59" spans="1:9" ht="25.5" x14ac:dyDescent="0.2">
      <c r="A59" s="383" t="s">
        <v>67</v>
      </c>
      <c r="B59" s="287" t="s">
        <v>637</v>
      </c>
      <c r="C59" s="416" t="s">
        <v>636</v>
      </c>
      <c r="D59" s="370" t="s">
        <v>477</v>
      </c>
      <c r="F59" s="426"/>
      <c r="G59" s="212"/>
      <c r="H59" s="212"/>
    </row>
    <row r="60" spans="1:9" x14ac:dyDescent="0.2">
      <c r="A60" s="384" t="s">
        <v>68</v>
      </c>
      <c r="B60" s="277">
        <f>D70</f>
        <v>31606.339999999997</v>
      </c>
      <c r="C60" s="283">
        <f>D70</f>
        <v>31606.339999999997</v>
      </c>
      <c r="D60" s="371">
        <v>27815.23</v>
      </c>
      <c r="F60" s="425"/>
      <c r="G60" s="212"/>
      <c r="H60" s="212"/>
      <c r="I60" s="211"/>
    </row>
    <row r="61" spans="1:9" x14ac:dyDescent="0.2">
      <c r="A61" s="384" t="s">
        <v>69</v>
      </c>
      <c r="B61" s="277">
        <v>107.06</v>
      </c>
      <c r="C61" s="283">
        <v>300</v>
      </c>
      <c r="D61" s="371">
        <v>322.11</v>
      </c>
      <c r="F61" s="282"/>
      <c r="I61" s="211"/>
    </row>
    <row r="62" spans="1:9" x14ac:dyDescent="0.2">
      <c r="A62" s="384" t="s">
        <v>70</v>
      </c>
      <c r="B62" s="277">
        <v>6069</v>
      </c>
      <c r="C62" s="283">
        <v>2500</v>
      </c>
      <c r="D62" s="371">
        <f>3703+9119-8000-500</f>
        <v>4322</v>
      </c>
      <c r="F62" s="282"/>
      <c r="I62" s="211"/>
    </row>
    <row r="63" spans="1:9" x14ac:dyDescent="0.2">
      <c r="A63" s="384" t="s">
        <v>71</v>
      </c>
      <c r="B63" s="277">
        <v>5615</v>
      </c>
      <c r="C63" s="283">
        <v>2500</v>
      </c>
      <c r="D63" s="371">
        <v>4726</v>
      </c>
      <c r="F63" s="282"/>
      <c r="I63" s="211"/>
    </row>
    <row r="64" spans="1:9" x14ac:dyDescent="0.2">
      <c r="A64" s="384" t="s">
        <v>639</v>
      </c>
      <c r="B64" s="277"/>
      <c r="C64" s="283"/>
      <c r="D64" s="371">
        <v>1920</v>
      </c>
      <c r="F64" s="282"/>
      <c r="I64" s="211"/>
    </row>
    <row r="65" spans="1:11" x14ac:dyDescent="0.2">
      <c r="A65" s="385" t="s">
        <v>566</v>
      </c>
      <c r="B65" s="277"/>
      <c r="C65" s="283">
        <v>-8000</v>
      </c>
      <c r="D65" s="371">
        <v>10000</v>
      </c>
      <c r="F65" s="282"/>
      <c r="I65" s="211"/>
    </row>
    <row r="66" spans="1:11" x14ac:dyDescent="0.2">
      <c r="A66" s="384" t="s">
        <v>527</v>
      </c>
      <c r="B66" s="277">
        <v>273</v>
      </c>
      <c r="C66" s="283"/>
      <c r="D66" s="371">
        <v>-273</v>
      </c>
      <c r="F66" s="282"/>
      <c r="I66" s="211"/>
    </row>
    <row r="67" spans="1:11" x14ac:dyDescent="0.2">
      <c r="A67" s="384" t="s">
        <v>638</v>
      </c>
      <c r="B67" s="277">
        <v>-2283</v>
      </c>
      <c r="C67" s="283"/>
      <c r="D67" s="371">
        <f>-9000-1800</f>
        <v>-10800</v>
      </c>
      <c r="F67" s="282"/>
      <c r="I67" s="211"/>
    </row>
    <row r="68" spans="1:11" x14ac:dyDescent="0.2">
      <c r="A68" s="384" t="s">
        <v>722</v>
      </c>
      <c r="B68" s="277">
        <v>-7195</v>
      </c>
      <c r="C68" s="284"/>
      <c r="D68" s="371">
        <v>-6426</v>
      </c>
      <c r="F68" s="282"/>
    </row>
    <row r="69" spans="1:11" ht="13.5" thickBot="1" x14ac:dyDescent="0.25">
      <c r="A69" s="386" t="s">
        <v>567</v>
      </c>
      <c r="B69" s="288"/>
      <c r="C69" s="285">
        <v>-7000</v>
      </c>
      <c r="D69" s="372"/>
      <c r="F69" s="282"/>
      <c r="I69" s="210"/>
    </row>
    <row r="70" spans="1:11" ht="13.5" thickTop="1" x14ac:dyDescent="0.2">
      <c r="A70" s="382" t="s">
        <v>72</v>
      </c>
      <c r="B70" s="289">
        <f>SUM(B60:B69)</f>
        <v>34192.399999999994</v>
      </c>
      <c r="C70" s="286">
        <f>SUM(C60:C69)</f>
        <v>21906.339999999997</v>
      </c>
      <c r="D70" s="373">
        <f>SUM(D60:D69)</f>
        <v>31606.339999999997</v>
      </c>
      <c r="F70" s="2"/>
    </row>
    <row r="71" spans="1:11" x14ac:dyDescent="0.2">
      <c r="B71" s="276"/>
      <c r="C71" s="276"/>
      <c r="D71" s="275"/>
      <c r="E71" s="2"/>
    </row>
    <row r="72" spans="1:11" x14ac:dyDescent="0.2">
      <c r="A72" s="38"/>
      <c r="B72" s="39"/>
      <c r="C72" s="39"/>
      <c r="D72" s="39"/>
      <c r="E72" s="39"/>
      <c r="F72" s="39"/>
    </row>
    <row r="73" spans="1:11" x14ac:dyDescent="0.2">
      <c r="F73" s="397" t="str">
        <f>A1</f>
        <v>Norrtälje 2015-04-30</v>
      </c>
      <c r="J73" s="212"/>
      <c r="K73" s="212"/>
    </row>
    <row r="74" spans="1:11" ht="36" customHeight="1" x14ac:dyDescent="0.45">
      <c r="A74" s="40" t="s">
        <v>55</v>
      </c>
      <c r="B74" s="41"/>
      <c r="C74" s="41"/>
      <c r="D74" s="41"/>
      <c r="E74" s="41"/>
      <c r="F74" s="98"/>
      <c r="J74" s="212"/>
      <c r="K74" s="212"/>
    </row>
    <row r="75" spans="1:11" ht="13.5" thickBot="1" x14ac:dyDescent="0.25"/>
    <row r="76" spans="1:11" ht="13.5" thickBot="1" x14ac:dyDescent="0.25">
      <c r="A76" s="376" t="s">
        <v>73</v>
      </c>
      <c r="B76" s="377"/>
      <c r="C76" s="377"/>
      <c r="D76" s="377"/>
      <c r="E76" s="377"/>
      <c r="F76" s="378"/>
    </row>
    <row r="77" spans="1:11" ht="26.25" x14ac:dyDescent="0.25">
      <c r="A77" s="42" t="s">
        <v>74</v>
      </c>
      <c r="B77" s="78" t="s">
        <v>588</v>
      </c>
      <c r="C77" s="431" t="s">
        <v>75</v>
      </c>
      <c r="D77" s="432"/>
      <c r="E77" s="79" t="s">
        <v>589</v>
      </c>
      <c r="F77" s="80" t="s">
        <v>590</v>
      </c>
    </row>
    <row r="78" spans="1:11" ht="23.25" customHeight="1" x14ac:dyDescent="0.2">
      <c r="A78" s="76" t="s">
        <v>1</v>
      </c>
      <c r="B78" s="86">
        <f t="shared" ref="B78:B84" si="0">B13</f>
        <v>174250.6</v>
      </c>
      <c r="C78" s="429"/>
      <c r="D78" s="433"/>
      <c r="E78" s="87">
        <f t="shared" ref="E78:E84" si="1">C13</f>
        <v>175500</v>
      </c>
      <c r="F78" s="81">
        <f t="shared" ref="F78:F84" si="2">D13</f>
        <v>218916</v>
      </c>
    </row>
    <row r="79" spans="1:11" ht="24" customHeight="1" x14ac:dyDescent="0.2">
      <c r="A79" s="76" t="s">
        <v>375</v>
      </c>
      <c r="B79" s="86">
        <f t="shared" si="0"/>
        <v>100</v>
      </c>
      <c r="C79" s="429"/>
      <c r="D79" s="433"/>
      <c r="E79" s="87">
        <f t="shared" si="1"/>
        <v>300</v>
      </c>
      <c r="F79" s="81">
        <f t="shared" si="2"/>
        <v>300</v>
      </c>
    </row>
    <row r="80" spans="1:11" ht="23.25" customHeight="1" x14ac:dyDescent="0.2">
      <c r="A80" s="76" t="s">
        <v>58</v>
      </c>
      <c r="B80" s="86">
        <f t="shared" si="0"/>
        <v>7618</v>
      </c>
      <c r="C80" s="429" t="s">
        <v>423</v>
      </c>
      <c r="D80" s="430"/>
      <c r="E80" s="87">
        <f t="shared" si="1"/>
        <v>8000</v>
      </c>
      <c r="F80" s="81">
        <f t="shared" si="2"/>
        <v>8034</v>
      </c>
    </row>
    <row r="81" spans="1:7" ht="24.75" customHeight="1" x14ac:dyDescent="0.2">
      <c r="A81" s="76" t="s">
        <v>59</v>
      </c>
      <c r="B81" s="86">
        <f t="shared" si="0"/>
        <v>0</v>
      </c>
      <c r="C81" s="429"/>
      <c r="D81" s="430"/>
      <c r="E81" s="87">
        <f t="shared" si="1"/>
        <v>0</v>
      </c>
      <c r="F81" s="81">
        <f t="shared" si="2"/>
        <v>0</v>
      </c>
    </row>
    <row r="82" spans="1:7" ht="16.5" customHeight="1" x14ac:dyDescent="0.2">
      <c r="A82" s="76" t="s">
        <v>60</v>
      </c>
      <c r="B82" s="86">
        <f t="shared" si="0"/>
        <v>0</v>
      </c>
      <c r="C82" s="429"/>
      <c r="D82" s="430"/>
      <c r="E82" s="87">
        <f t="shared" si="1"/>
        <v>0</v>
      </c>
      <c r="F82" s="81">
        <f t="shared" si="2"/>
        <v>0</v>
      </c>
    </row>
    <row r="83" spans="1:7" x14ac:dyDescent="0.2">
      <c r="A83" s="76" t="s">
        <v>61</v>
      </c>
      <c r="B83" s="86">
        <f t="shared" si="0"/>
        <v>0</v>
      </c>
      <c r="C83" s="429"/>
      <c r="D83" s="433"/>
      <c r="E83" s="87">
        <f t="shared" si="1"/>
        <v>0</v>
      </c>
      <c r="F83" s="81">
        <f t="shared" si="2"/>
        <v>0</v>
      </c>
    </row>
    <row r="84" spans="1:7" ht="15.75" customHeight="1" x14ac:dyDescent="0.2">
      <c r="A84" s="77" t="s">
        <v>62</v>
      </c>
      <c r="B84" s="86">
        <f t="shared" si="0"/>
        <v>0</v>
      </c>
      <c r="C84" s="429"/>
      <c r="D84" s="433"/>
      <c r="E84" s="87">
        <f t="shared" si="1"/>
        <v>0</v>
      </c>
      <c r="F84" s="81">
        <f t="shared" si="2"/>
        <v>0</v>
      </c>
    </row>
    <row r="85" spans="1:7" ht="13.5" thickBot="1" x14ac:dyDescent="0.25">
      <c r="A85" s="77" t="s">
        <v>2</v>
      </c>
      <c r="B85" s="88">
        <f>SUM(B78:B84)</f>
        <v>181968.6</v>
      </c>
      <c r="C85" s="434"/>
      <c r="D85" s="435"/>
      <c r="E85" s="89">
        <f>SUM(E78:E84)</f>
        <v>183800</v>
      </c>
      <c r="F85" s="82">
        <f>SUM(F78:F84)</f>
        <v>227250</v>
      </c>
    </row>
    <row r="86" spans="1:7" x14ac:dyDescent="0.2">
      <c r="A86" s="43" t="s">
        <v>77</v>
      </c>
      <c r="B86" s="90"/>
      <c r="C86" s="91"/>
      <c r="D86" s="92"/>
      <c r="E86" s="93"/>
      <c r="F86" s="83"/>
    </row>
    <row r="87" spans="1:7" ht="17.25" customHeight="1" x14ac:dyDescent="0.2">
      <c r="A87" s="76" t="s">
        <v>4</v>
      </c>
      <c r="B87" s="94">
        <f>B24</f>
        <v>0</v>
      </c>
      <c r="C87" s="429"/>
      <c r="D87" s="433"/>
      <c r="E87" s="95">
        <f t="shared" ref="E87:E89" si="3">C24</f>
        <v>0</v>
      </c>
      <c r="F87" s="84">
        <f>D24</f>
        <v>64350</v>
      </c>
    </row>
    <row r="88" spans="1:7" ht="55.5" customHeight="1" x14ac:dyDescent="0.2">
      <c r="A88" s="76" t="s">
        <v>5</v>
      </c>
      <c r="B88" s="94">
        <f>B25</f>
        <v>18404.900000000001</v>
      </c>
      <c r="C88" s="429" t="s">
        <v>744</v>
      </c>
      <c r="D88" s="433"/>
      <c r="E88" s="95">
        <f t="shared" si="3"/>
        <v>16000</v>
      </c>
      <c r="F88" s="84">
        <f>D25</f>
        <v>15281.95</v>
      </c>
    </row>
    <row r="89" spans="1:7" ht="39.75" customHeight="1" x14ac:dyDescent="0.2">
      <c r="A89" s="76" t="s">
        <v>6</v>
      </c>
      <c r="B89" s="94">
        <f>B26</f>
        <v>8173</v>
      </c>
      <c r="C89" s="429" t="s">
        <v>729</v>
      </c>
      <c r="D89" s="433"/>
      <c r="E89" s="95">
        <f t="shared" si="3"/>
        <v>13000</v>
      </c>
      <c r="F89" s="84">
        <f>D26</f>
        <v>31920</v>
      </c>
    </row>
    <row r="90" spans="1:7" ht="30" customHeight="1" x14ac:dyDescent="0.2">
      <c r="A90" s="76" t="s">
        <v>7</v>
      </c>
      <c r="B90" s="94">
        <f>B29</f>
        <v>16938</v>
      </c>
      <c r="C90" s="429" t="s">
        <v>730</v>
      </c>
      <c r="D90" s="433"/>
      <c r="E90" s="95">
        <f t="shared" ref="E90:E92" si="4">C29</f>
        <v>25000</v>
      </c>
      <c r="F90" s="84">
        <f>D29</f>
        <v>16724</v>
      </c>
      <c r="G90" s="2"/>
    </row>
    <row r="91" spans="1:7" ht="138" customHeight="1" x14ac:dyDescent="0.2">
      <c r="A91" s="76" t="s">
        <v>376</v>
      </c>
      <c r="B91" s="94">
        <f>B30</f>
        <v>26758.48</v>
      </c>
      <c r="C91" s="429" t="s">
        <v>738</v>
      </c>
      <c r="D91" s="430"/>
      <c r="E91" s="95">
        <f t="shared" si="4"/>
        <v>28300</v>
      </c>
      <c r="F91" s="84">
        <f>D30</f>
        <v>27481.38</v>
      </c>
      <c r="G91" s="398"/>
    </row>
    <row r="92" spans="1:7" ht="64.5" customHeight="1" x14ac:dyDescent="0.2">
      <c r="A92" s="76" t="s">
        <v>8</v>
      </c>
      <c r="B92" s="94">
        <f>B31</f>
        <v>30639</v>
      </c>
      <c r="C92" s="429" t="s">
        <v>693</v>
      </c>
      <c r="D92" s="430"/>
      <c r="E92" s="95">
        <f t="shared" si="4"/>
        <v>36250</v>
      </c>
      <c r="F92" s="84">
        <f>D31</f>
        <v>14493</v>
      </c>
      <c r="G92" s="33"/>
    </row>
    <row r="93" spans="1:7" ht="24.75" customHeight="1" x14ac:dyDescent="0.2">
      <c r="A93" s="76" t="s">
        <v>63</v>
      </c>
      <c r="B93" s="94">
        <f>B35</f>
        <v>9770</v>
      </c>
      <c r="C93" s="429" t="s">
        <v>606</v>
      </c>
      <c r="D93" s="430"/>
      <c r="E93" s="95">
        <f>C35</f>
        <v>9770</v>
      </c>
      <c r="F93" s="84">
        <f t="shared" ref="F93:F104" si="5">D35</f>
        <v>9370</v>
      </c>
    </row>
    <row r="94" spans="1:7" ht="15" customHeight="1" x14ac:dyDescent="0.2">
      <c r="A94" s="76" t="s">
        <v>9</v>
      </c>
      <c r="B94" s="94">
        <f t="shared" ref="B94:B106" si="6">B36</f>
        <v>9400</v>
      </c>
      <c r="C94" s="429" t="s">
        <v>680</v>
      </c>
      <c r="D94" s="430"/>
      <c r="E94" s="95">
        <f>C36</f>
        <v>8200</v>
      </c>
      <c r="F94" s="84">
        <f t="shared" si="5"/>
        <v>6800</v>
      </c>
    </row>
    <row r="95" spans="1:7" ht="53.25" customHeight="1" x14ac:dyDescent="0.2">
      <c r="A95" s="76" t="s">
        <v>10</v>
      </c>
      <c r="B95" s="94">
        <f t="shared" si="6"/>
        <v>22984</v>
      </c>
      <c r="C95" s="429"/>
      <c r="D95" s="430"/>
      <c r="E95" s="95">
        <f>C37</f>
        <v>20500</v>
      </c>
      <c r="F95" s="84">
        <f t="shared" si="5"/>
        <v>21336</v>
      </c>
    </row>
    <row r="96" spans="1:7" ht="35.25" customHeight="1" x14ac:dyDescent="0.2">
      <c r="A96" s="76" t="s">
        <v>561</v>
      </c>
      <c r="B96" s="94">
        <f t="shared" si="6"/>
        <v>3360</v>
      </c>
      <c r="C96" s="429" t="s">
        <v>707</v>
      </c>
      <c r="D96" s="430"/>
      <c r="E96" s="95">
        <f t="shared" ref="E96:E105" si="7">C38</f>
        <v>2260</v>
      </c>
      <c r="F96" s="84">
        <f t="shared" si="5"/>
        <v>1160</v>
      </c>
    </row>
    <row r="97" spans="1:6" ht="38.25" customHeight="1" x14ac:dyDescent="0.2">
      <c r="A97" s="76" t="s">
        <v>11</v>
      </c>
      <c r="B97" s="94">
        <f>B39</f>
        <v>50</v>
      </c>
      <c r="C97" s="429" t="s">
        <v>706</v>
      </c>
      <c r="D97" s="430"/>
      <c r="E97" s="95">
        <f t="shared" si="7"/>
        <v>650</v>
      </c>
      <c r="F97" s="84">
        <f t="shared" si="5"/>
        <v>650</v>
      </c>
    </row>
    <row r="98" spans="1:6" x14ac:dyDescent="0.2">
      <c r="A98" s="76" t="s">
        <v>12</v>
      </c>
      <c r="B98" s="94">
        <f t="shared" si="6"/>
        <v>469.5</v>
      </c>
      <c r="C98" s="429" t="s">
        <v>697</v>
      </c>
      <c r="D98" s="430"/>
      <c r="E98" s="95">
        <f t="shared" si="7"/>
        <v>470</v>
      </c>
      <c r="F98" s="84">
        <f t="shared" si="5"/>
        <v>471</v>
      </c>
    </row>
    <row r="99" spans="1:6" ht="26.25" customHeight="1" x14ac:dyDescent="0.2">
      <c r="A99" s="76" t="s">
        <v>90</v>
      </c>
      <c r="B99" s="94">
        <f t="shared" si="6"/>
        <v>1967</v>
      </c>
      <c r="C99" s="429" t="s">
        <v>601</v>
      </c>
      <c r="D99" s="430"/>
      <c r="E99" s="95">
        <f t="shared" si="7"/>
        <v>1300</v>
      </c>
      <c r="F99" s="84">
        <f t="shared" si="5"/>
        <v>1324.7</v>
      </c>
    </row>
    <row r="100" spans="1:6" x14ac:dyDescent="0.2">
      <c r="A100" s="76" t="s">
        <v>13</v>
      </c>
      <c r="B100" s="94">
        <f>B42</f>
        <v>1625</v>
      </c>
      <c r="C100" s="429" t="s">
        <v>660</v>
      </c>
      <c r="D100" s="430"/>
      <c r="E100" s="95">
        <f t="shared" si="7"/>
        <v>1700</v>
      </c>
      <c r="F100" s="84">
        <f t="shared" si="5"/>
        <v>1625</v>
      </c>
    </row>
    <row r="101" spans="1:6" ht="51.75" customHeight="1" x14ac:dyDescent="0.2">
      <c r="A101" s="76" t="s">
        <v>14</v>
      </c>
      <c r="B101" s="94">
        <f t="shared" si="6"/>
        <v>2418</v>
      </c>
      <c r="C101" s="429" t="s">
        <v>737</v>
      </c>
      <c r="D101" s="430"/>
      <c r="E101" s="95">
        <f t="shared" si="7"/>
        <v>2400</v>
      </c>
      <c r="F101" s="84">
        <f t="shared" si="5"/>
        <v>2358</v>
      </c>
    </row>
    <row r="102" spans="1:6" ht="103.5" customHeight="1" x14ac:dyDescent="0.2">
      <c r="A102" s="76" t="s">
        <v>15</v>
      </c>
      <c r="B102" s="94">
        <f t="shared" si="6"/>
        <v>3600</v>
      </c>
      <c r="C102" s="429" t="s">
        <v>746</v>
      </c>
      <c r="D102" s="430"/>
      <c r="E102" s="95">
        <f t="shared" si="7"/>
        <v>15000</v>
      </c>
      <c r="F102" s="84">
        <f t="shared" si="5"/>
        <v>10028</v>
      </c>
    </row>
    <row r="103" spans="1:6" ht="35.25" customHeight="1" x14ac:dyDescent="0.2">
      <c r="A103" s="76" t="s">
        <v>113</v>
      </c>
      <c r="B103" s="94">
        <f>B45-Bokföring!AJ101</f>
        <v>782.9</v>
      </c>
      <c r="C103" s="429" t="s">
        <v>600</v>
      </c>
      <c r="D103" s="430"/>
      <c r="E103" s="95">
        <f t="shared" si="7"/>
        <v>1500</v>
      </c>
      <c r="F103" s="84">
        <f t="shared" si="5"/>
        <v>429.15</v>
      </c>
    </row>
    <row r="104" spans="1:6" ht="32.25" customHeight="1" x14ac:dyDescent="0.2">
      <c r="A104" s="76" t="s">
        <v>27</v>
      </c>
      <c r="B104" s="94">
        <f>B46</f>
        <v>2500</v>
      </c>
      <c r="C104" s="429" t="s">
        <v>688</v>
      </c>
      <c r="D104" s="430"/>
      <c r="E104" s="95">
        <f t="shared" si="7"/>
        <v>1500</v>
      </c>
      <c r="F104" s="84">
        <f t="shared" si="5"/>
        <v>0</v>
      </c>
    </row>
    <row r="105" spans="1:6" ht="32.25" customHeight="1" x14ac:dyDescent="0.2">
      <c r="A105" s="76" t="s">
        <v>373</v>
      </c>
      <c r="B105" s="94">
        <f t="shared" si="6"/>
        <v>450</v>
      </c>
      <c r="C105" s="429" t="s">
        <v>731</v>
      </c>
      <c r="D105" s="430"/>
      <c r="E105" s="95">
        <f t="shared" si="7"/>
        <v>0</v>
      </c>
      <c r="F105" s="84">
        <v>0</v>
      </c>
    </row>
    <row r="106" spans="1:6" ht="24" customHeight="1" x14ac:dyDescent="0.2">
      <c r="A106" s="76" t="s">
        <v>16</v>
      </c>
      <c r="B106" s="94">
        <f t="shared" si="6"/>
        <v>21678.82</v>
      </c>
      <c r="C106" s="429"/>
      <c r="D106" s="433"/>
      <c r="E106" s="95">
        <f>C48</f>
        <v>0</v>
      </c>
      <c r="F106" s="84">
        <v>1447.82</v>
      </c>
    </row>
    <row r="107" spans="1:6" ht="18.75" customHeight="1" thickBot="1" x14ac:dyDescent="0.25">
      <c r="A107" s="44" t="s">
        <v>2</v>
      </c>
      <c r="B107" s="96">
        <f>SUM(B87:B106)</f>
        <v>181968.6</v>
      </c>
      <c r="C107" s="434"/>
      <c r="D107" s="435"/>
      <c r="E107" s="97">
        <f>SUM(E87:E106)</f>
        <v>183800</v>
      </c>
      <c r="F107" s="85">
        <f>SUM(F87:F106)</f>
        <v>227250</v>
      </c>
    </row>
    <row r="108" spans="1:6" ht="76.5" customHeight="1" x14ac:dyDescent="0.2"/>
    <row r="109" spans="1:6" hidden="1" x14ac:dyDescent="0.2">
      <c r="A109" s="45"/>
      <c r="B109" s="46" t="s">
        <v>78</v>
      </c>
      <c r="C109" s="47" t="s">
        <v>79</v>
      </c>
      <c r="D109" s="48" t="s">
        <v>80</v>
      </c>
    </row>
    <row r="110" spans="1:6" hidden="1" x14ac:dyDescent="0.2">
      <c r="A110" s="49" t="s">
        <v>81</v>
      </c>
      <c r="B110" s="50" t="e">
        <f>Bokföring!#REF!+Bokföring!#REF!</f>
        <v>#REF!</v>
      </c>
      <c r="C110" s="176">
        <f>[1]midsommar!G19</f>
        <v>25622.07</v>
      </c>
      <c r="D110" s="177"/>
      <c r="F110" s="30">
        <v>22905.08</v>
      </c>
    </row>
    <row r="111" spans="1:6" hidden="1" x14ac:dyDescent="0.2">
      <c r="A111" s="49"/>
      <c r="B111" s="50"/>
      <c r="C111" s="176"/>
      <c r="D111" s="177" t="s">
        <v>69</v>
      </c>
      <c r="F111" s="30">
        <f>-22122.07</f>
        <v>-22122.07</v>
      </c>
    </row>
    <row r="112" spans="1:6" hidden="1" x14ac:dyDescent="0.2">
      <c r="A112" s="49"/>
      <c r="B112" s="51"/>
      <c r="C112" s="176">
        <f>[1]midsommar!J13</f>
        <v>11498.099999999999</v>
      </c>
      <c r="D112" s="177" t="s">
        <v>82</v>
      </c>
      <c r="F112" s="30">
        <f>F110+F111</f>
        <v>783.01000000000204</v>
      </c>
    </row>
    <row r="113" spans="1:6" hidden="1" x14ac:dyDescent="0.2">
      <c r="A113" s="49" t="s">
        <v>83</v>
      </c>
      <c r="B113" s="50">
        <f>B85</f>
        <v>181968.6</v>
      </c>
      <c r="C113" s="176">
        <f>[1]midsommar!B29</f>
        <v>1297.6499999999996</v>
      </c>
      <c r="D113" s="177" t="s">
        <v>84</v>
      </c>
    </row>
    <row r="114" spans="1:6" hidden="1" x14ac:dyDescent="0.2">
      <c r="A114" s="49" t="s">
        <v>85</v>
      </c>
      <c r="B114" s="52">
        <f>-B43</f>
        <v>-2418</v>
      </c>
      <c r="C114" s="178">
        <v>0</v>
      </c>
      <c r="D114" s="179" t="s">
        <v>86</v>
      </c>
    </row>
    <row r="115" spans="1:6" ht="13.5" hidden="1" thickBot="1" x14ac:dyDescent="0.25">
      <c r="A115" s="53" t="s">
        <v>87</v>
      </c>
      <c r="B115" s="54" t="e">
        <f>SUM(B110:B114)</f>
        <v>#REF!</v>
      </c>
      <c r="C115" s="180">
        <f>SUM(C110:C114)</f>
        <v>38417.82</v>
      </c>
      <c r="D115" s="181"/>
      <c r="F115" s="55">
        <v>30309.62</v>
      </c>
    </row>
    <row r="116" spans="1:6" hidden="1" x14ac:dyDescent="0.2">
      <c r="A116" s="57"/>
      <c r="B116" s="56"/>
      <c r="C116" s="56"/>
      <c r="F116" s="56">
        <v>-27592.63</v>
      </c>
    </row>
    <row r="117" spans="1:6" hidden="1" x14ac:dyDescent="0.2">
      <c r="B117" s="58"/>
      <c r="C117" s="21"/>
      <c r="F117" s="55">
        <f>SUM(F115:F116)</f>
        <v>2716.989999999998</v>
      </c>
    </row>
    <row r="118" spans="1:6" hidden="1" x14ac:dyDescent="0.2">
      <c r="B118" s="21"/>
      <c r="C118" s="21"/>
    </row>
    <row r="119" spans="1:6" x14ac:dyDescent="0.2">
      <c r="A119" s="59"/>
      <c r="B119" s="21"/>
      <c r="C119" s="2"/>
    </row>
    <row r="120" spans="1:6" x14ac:dyDescent="0.2">
      <c r="A120" s="59"/>
      <c r="B120" s="2"/>
      <c r="C120" s="21"/>
    </row>
    <row r="121" spans="1:6" x14ac:dyDescent="0.2">
      <c r="A121" s="59"/>
      <c r="B121" s="60"/>
      <c r="C121" s="56"/>
      <c r="D121" s="61"/>
    </row>
    <row r="122" spans="1:6" x14ac:dyDescent="0.2">
      <c r="A122" s="59"/>
      <c r="B122" s="62"/>
      <c r="C122" s="63"/>
      <c r="D122" s="63"/>
      <c r="E122" s="62"/>
      <c r="F122" s="64"/>
    </row>
    <row r="123" spans="1:6" x14ac:dyDescent="0.2">
      <c r="A123" s="59"/>
    </row>
    <row r="124" spans="1:6" x14ac:dyDescent="0.2">
      <c r="A124" s="59"/>
    </row>
    <row r="125" spans="1:6" x14ac:dyDescent="0.2">
      <c r="A125" s="59"/>
    </row>
    <row r="126" spans="1:6" x14ac:dyDescent="0.2">
      <c r="A126" s="59"/>
    </row>
    <row r="127" spans="1:6" x14ac:dyDescent="0.2">
      <c r="A127" s="59"/>
    </row>
    <row r="128" spans="1:6" x14ac:dyDescent="0.2">
      <c r="A128" s="59"/>
    </row>
    <row r="129" spans="1:1" x14ac:dyDescent="0.2">
      <c r="A129" s="59"/>
    </row>
    <row r="130" spans="1:1" x14ac:dyDescent="0.2">
      <c r="A130" s="59"/>
    </row>
    <row r="131" spans="1:1" x14ac:dyDescent="0.2">
      <c r="A131" s="59"/>
    </row>
    <row r="132" spans="1:1" x14ac:dyDescent="0.2">
      <c r="A132" s="59"/>
    </row>
    <row r="133" spans="1:1" x14ac:dyDescent="0.2">
      <c r="A133" s="59"/>
    </row>
    <row r="134" spans="1:1" x14ac:dyDescent="0.2">
      <c r="A134" s="59"/>
    </row>
    <row r="135" spans="1:1" x14ac:dyDescent="0.2">
      <c r="A135" s="59"/>
    </row>
    <row r="136" spans="1:1" x14ac:dyDescent="0.2">
      <c r="A136" s="59"/>
    </row>
    <row r="137" spans="1:1" x14ac:dyDescent="0.2">
      <c r="A137" s="59"/>
    </row>
    <row r="138" spans="1:1" x14ac:dyDescent="0.2">
      <c r="A138" s="59"/>
    </row>
    <row r="139" spans="1:1" x14ac:dyDescent="0.2">
      <c r="A139" s="59"/>
    </row>
    <row r="140" spans="1:1" x14ac:dyDescent="0.2">
      <c r="A140" s="59"/>
    </row>
    <row r="141" spans="1:1" x14ac:dyDescent="0.2">
      <c r="A141" s="59"/>
    </row>
    <row r="142" spans="1:1" x14ac:dyDescent="0.2">
      <c r="A142" s="59"/>
    </row>
    <row r="143" spans="1:1" x14ac:dyDescent="0.2">
      <c r="A143" s="59"/>
    </row>
    <row r="144" spans="1:1" x14ac:dyDescent="0.2">
      <c r="A144" s="59"/>
    </row>
    <row r="145" spans="1:1" x14ac:dyDescent="0.2">
      <c r="A145" s="59"/>
    </row>
    <row r="146" spans="1:1" x14ac:dyDescent="0.2">
      <c r="A146" s="59"/>
    </row>
    <row r="147" spans="1:1" x14ac:dyDescent="0.2">
      <c r="A147" s="59"/>
    </row>
    <row r="148" spans="1:1" x14ac:dyDescent="0.2">
      <c r="A148" s="59"/>
    </row>
    <row r="149" spans="1:1" x14ac:dyDescent="0.2">
      <c r="A149" s="59"/>
    </row>
    <row r="150" spans="1:1" x14ac:dyDescent="0.2">
      <c r="A150" s="59"/>
    </row>
    <row r="151" spans="1:1" x14ac:dyDescent="0.2">
      <c r="A151" s="59"/>
    </row>
    <row r="152" spans="1:1" x14ac:dyDescent="0.2">
      <c r="A152" s="59"/>
    </row>
    <row r="153" spans="1:1" x14ac:dyDescent="0.2">
      <c r="A153" s="59"/>
    </row>
    <row r="154" spans="1:1" x14ac:dyDescent="0.2">
      <c r="A154" s="59"/>
    </row>
    <row r="155" spans="1:1" x14ac:dyDescent="0.2">
      <c r="A155" s="59"/>
    </row>
    <row r="156" spans="1:1" x14ac:dyDescent="0.2">
      <c r="A156" s="59"/>
    </row>
    <row r="157" spans="1:1" x14ac:dyDescent="0.2">
      <c r="A157" s="59"/>
    </row>
    <row r="158" spans="1:1" x14ac:dyDescent="0.2">
      <c r="A158" s="59"/>
    </row>
    <row r="159" spans="1:1" x14ac:dyDescent="0.2">
      <c r="A159" s="59"/>
    </row>
    <row r="160" spans="1:1" x14ac:dyDescent="0.2">
      <c r="A160" s="59"/>
    </row>
    <row r="161" spans="1:1" x14ac:dyDescent="0.2">
      <c r="A161" s="59"/>
    </row>
    <row r="162" spans="1:1" x14ac:dyDescent="0.2">
      <c r="A162" s="59"/>
    </row>
    <row r="163" spans="1:1" x14ac:dyDescent="0.2">
      <c r="A163" s="59"/>
    </row>
    <row r="164" spans="1:1" x14ac:dyDescent="0.2">
      <c r="A164" s="59"/>
    </row>
    <row r="165" spans="1:1" x14ac:dyDescent="0.2">
      <c r="A165" s="59"/>
    </row>
    <row r="166" spans="1:1" x14ac:dyDescent="0.2">
      <c r="A166" s="59"/>
    </row>
    <row r="167" spans="1:1" x14ac:dyDescent="0.2">
      <c r="A167" s="59"/>
    </row>
    <row r="168" spans="1:1" x14ac:dyDescent="0.2">
      <c r="A168" s="59"/>
    </row>
    <row r="169" spans="1:1" x14ac:dyDescent="0.2">
      <c r="A169" s="59"/>
    </row>
  </sheetData>
  <mergeCells count="30">
    <mergeCell ref="C98:D98"/>
    <mergeCell ref="C105:D105"/>
    <mergeCell ref="C106:D106"/>
    <mergeCell ref="C107:D107"/>
    <mergeCell ref="C100:D100"/>
    <mergeCell ref="C101:D101"/>
    <mergeCell ref="C102:D102"/>
    <mergeCell ref="C103:D103"/>
    <mergeCell ref="C104:D104"/>
    <mergeCell ref="C99:D99"/>
    <mergeCell ref="C94:D94"/>
    <mergeCell ref="C95:D95"/>
    <mergeCell ref="C96:D96"/>
    <mergeCell ref="C97:D97"/>
    <mergeCell ref="C92:D92"/>
    <mergeCell ref="C80:D80"/>
    <mergeCell ref="C77:D77"/>
    <mergeCell ref="C78:D78"/>
    <mergeCell ref="C79:D79"/>
    <mergeCell ref="C93:D93"/>
    <mergeCell ref="C81:D81"/>
    <mergeCell ref="C82:D82"/>
    <mergeCell ref="C83:D83"/>
    <mergeCell ref="C84:D84"/>
    <mergeCell ref="C85:D85"/>
    <mergeCell ref="C87:D87"/>
    <mergeCell ref="C88:D88"/>
    <mergeCell ref="C89:D89"/>
    <mergeCell ref="C90:D90"/>
    <mergeCell ref="C91:D91"/>
  </mergeCells>
  <pageMargins left="0.39370078740157483" right="0" top="0.74803149606299213" bottom="0.74803149606299213" header="0.31496062992125984" footer="0.31496062992125984"/>
  <pageSetup paperSize="9" scale="65" fitToHeight="2" orientation="portrait" horizontalDpi="4294967293" verticalDpi="4294967293" r:id="rId1"/>
  <rowBreaks count="1" manualBreakCount="1">
    <brk id="7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3:AU121"/>
  <sheetViews>
    <sheetView topLeftCell="A4" workbookViewId="0">
      <pane xSplit="7" ySplit="5" topLeftCell="H102" activePane="bottomRight" state="frozen"/>
      <selection activeCell="G110" sqref="G110"/>
      <selection pane="topRight" activeCell="G110" sqref="G110"/>
      <selection pane="bottomLeft" activeCell="G110" sqref="G110"/>
      <selection pane="bottomRight" activeCell="H107" sqref="H107"/>
    </sheetView>
  </sheetViews>
  <sheetFormatPr defaultRowHeight="15.75" x14ac:dyDescent="0.25"/>
  <cols>
    <col min="1" max="1" width="7.42578125" style="329" customWidth="1"/>
    <col min="2" max="2" width="11.5703125" style="329" bestFit="1" customWidth="1"/>
    <col min="3" max="3" width="36.28515625" style="329" customWidth="1"/>
    <col min="4" max="5" width="10.140625" bestFit="1" customWidth="1"/>
    <col min="6" max="7" width="10.5703125" customWidth="1"/>
    <col min="8" max="8" width="11.85546875" customWidth="1"/>
    <col min="9" max="9" width="11.28515625" customWidth="1"/>
    <col min="10" max="10" width="0" hidden="1" customWidth="1"/>
    <col min="11" max="11" width="9.28515625" bestFit="1" customWidth="1"/>
    <col min="12" max="12" width="0" hidden="1" customWidth="1"/>
    <col min="13" max="13" width="7.85546875" customWidth="1"/>
    <col min="14" max="14" width="0" hidden="1" customWidth="1"/>
    <col min="15" max="15" width="9.28515625" hidden="1" customWidth="1"/>
    <col min="16" max="16" width="11.140625" customWidth="1"/>
    <col min="17" max="17" width="0" hidden="1" customWidth="1"/>
    <col min="18" max="18" width="10.140625" bestFit="1" customWidth="1"/>
    <col min="19" max="19" width="0" hidden="1" customWidth="1"/>
    <col min="20" max="20" width="10.140625" bestFit="1" customWidth="1"/>
    <col min="21" max="21" width="0" hidden="1" customWidth="1"/>
    <col min="22" max="22" width="10.140625" bestFit="1" customWidth="1"/>
    <col min="23" max="23" width="0" hidden="1" customWidth="1"/>
    <col min="24" max="24" width="11.85546875" customWidth="1"/>
    <col min="25" max="25" width="0" hidden="1" customWidth="1"/>
    <col min="26" max="26" width="11.5703125" customWidth="1"/>
    <col min="27" max="27" width="9.7109375" hidden="1" customWidth="1"/>
    <col min="28" max="28" width="9.7109375" customWidth="1"/>
    <col min="29" max="29" width="0" hidden="1" customWidth="1"/>
    <col min="30" max="30" width="9.42578125" customWidth="1"/>
    <col min="31" max="31" width="9.140625" hidden="1" customWidth="1"/>
    <col min="32" max="32" width="8.5703125" customWidth="1"/>
    <col min="33" max="33" width="9.140625" hidden="1" customWidth="1"/>
    <col min="34" max="34" width="8.28515625" customWidth="1"/>
    <col min="35" max="35" width="0" hidden="1" customWidth="1"/>
    <col min="36" max="36" width="9.28515625" bestFit="1" customWidth="1"/>
    <col min="37" max="37" width="0" hidden="1" customWidth="1"/>
    <col min="38" max="38" width="8.140625" hidden="1" customWidth="1"/>
    <col min="39" max="39" width="0" hidden="1" customWidth="1"/>
    <col min="40" max="40" width="10.140625" customWidth="1"/>
    <col min="41" max="41" width="0" hidden="1" customWidth="1"/>
    <col min="42" max="42" width="9.28515625" bestFit="1" customWidth="1"/>
    <col min="43" max="43" width="9.140625" hidden="1" customWidth="1"/>
    <col min="44" max="44" width="11" customWidth="1"/>
    <col min="45" max="45" width="9.140625" hidden="1" customWidth="1"/>
    <col min="46" max="46" width="0" style="7" hidden="1" customWidth="1"/>
    <col min="47" max="47" width="0" hidden="1" customWidth="1"/>
  </cols>
  <sheetData>
    <row r="3" spans="1:47" x14ac:dyDescent="0.25">
      <c r="A3" s="329" t="s">
        <v>17</v>
      </c>
    </row>
    <row r="4" spans="1:47" x14ac:dyDescent="0.25">
      <c r="A4" s="329" t="s">
        <v>584</v>
      </c>
      <c r="F4" s="20"/>
      <c r="G4">
        <f>9770-400</f>
        <v>9370</v>
      </c>
    </row>
    <row r="5" spans="1:47" ht="16.5" thickBot="1" x14ac:dyDescent="0.3">
      <c r="D5" s="17" t="s">
        <v>25</v>
      </c>
      <c r="E5" s="17"/>
      <c r="F5" s="17"/>
      <c r="G5" s="17"/>
      <c r="I5" s="18" t="s">
        <v>0</v>
      </c>
      <c r="J5" s="18"/>
      <c r="K5" s="18"/>
      <c r="L5" s="18"/>
      <c r="M5" s="18"/>
      <c r="N5" s="18"/>
      <c r="O5" s="18"/>
      <c r="P5" s="19" t="s">
        <v>3</v>
      </c>
      <c r="Q5" s="19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</row>
    <row r="6" spans="1:47" ht="42.75" customHeight="1" x14ac:dyDescent="0.25">
      <c r="D6" s="438" t="s">
        <v>31</v>
      </c>
      <c r="E6" s="439"/>
      <c r="F6" s="440" t="s">
        <v>23</v>
      </c>
      <c r="G6" s="441"/>
      <c r="H6" s="442" t="s">
        <v>1</v>
      </c>
      <c r="I6" s="443"/>
      <c r="J6" s="444" t="s">
        <v>24</v>
      </c>
      <c r="K6" s="443"/>
      <c r="L6" s="444" t="s">
        <v>76</v>
      </c>
      <c r="M6" s="443"/>
      <c r="N6" s="444" t="s">
        <v>26</v>
      </c>
      <c r="O6" s="443"/>
      <c r="P6" s="445" t="s">
        <v>4</v>
      </c>
      <c r="Q6" s="446"/>
      <c r="R6" s="445" t="s">
        <v>5</v>
      </c>
      <c r="S6" s="446"/>
      <c r="T6" s="445" t="s">
        <v>6</v>
      </c>
      <c r="U6" s="437"/>
      <c r="V6" s="447" t="s">
        <v>7</v>
      </c>
      <c r="W6" s="448"/>
      <c r="X6" s="447" t="s">
        <v>29</v>
      </c>
      <c r="Y6" s="448"/>
      <c r="Z6" s="436" t="s">
        <v>8</v>
      </c>
      <c r="AA6" s="437"/>
      <c r="AB6" s="449" t="s">
        <v>36</v>
      </c>
      <c r="AC6" s="450"/>
      <c r="AD6" s="449" t="s">
        <v>371</v>
      </c>
      <c r="AE6" s="450"/>
      <c r="AF6" s="449" t="s">
        <v>37</v>
      </c>
      <c r="AG6" s="450"/>
      <c r="AH6" s="449" t="s">
        <v>9</v>
      </c>
      <c r="AI6" s="450"/>
      <c r="AJ6" s="449" t="s">
        <v>32</v>
      </c>
      <c r="AK6" s="450"/>
      <c r="AL6" s="449" t="s">
        <v>34</v>
      </c>
      <c r="AM6" s="450"/>
      <c r="AN6" s="449" t="s">
        <v>38</v>
      </c>
      <c r="AO6" s="450"/>
      <c r="AP6" s="449" t="s">
        <v>33</v>
      </c>
      <c r="AQ6" s="450"/>
      <c r="AR6" s="447" t="s">
        <v>27</v>
      </c>
      <c r="AS6" s="448"/>
    </row>
    <row r="7" spans="1:47" x14ac:dyDescent="0.25">
      <c r="A7" s="327" t="s">
        <v>20</v>
      </c>
      <c r="B7" s="327" t="s">
        <v>18</v>
      </c>
      <c r="C7" s="328" t="s">
        <v>19</v>
      </c>
      <c r="D7" s="8" t="s">
        <v>21</v>
      </c>
      <c r="E7" s="9" t="s">
        <v>22</v>
      </c>
      <c r="F7" s="10" t="s">
        <v>21</v>
      </c>
      <c r="G7" s="11" t="s">
        <v>22</v>
      </c>
      <c r="H7" s="6" t="s">
        <v>21</v>
      </c>
      <c r="I7" s="3" t="s">
        <v>22</v>
      </c>
      <c r="J7" s="3" t="s">
        <v>21</v>
      </c>
      <c r="K7" s="3" t="s">
        <v>22</v>
      </c>
      <c r="L7" s="3" t="s">
        <v>21</v>
      </c>
      <c r="M7" s="3" t="s">
        <v>22</v>
      </c>
      <c r="N7" s="3" t="s">
        <v>21</v>
      </c>
      <c r="O7" s="3" t="s">
        <v>22</v>
      </c>
      <c r="P7" s="5" t="s">
        <v>21</v>
      </c>
      <c r="Q7" s="5" t="s">
        <v>22</v>
      </c>
      <c r="R7" s="5" t="s">
        <v>21</v>
      </c>
      <c r="S7" s="5" t="s">
        <v>22</v>
      </c>
      <c r="T7" s="5" t="s">
        <v>21</v>
      </c>
      <c r="U7" s="12" t="s">
        <v>22</v>
      </c>
      <c r="V7" s="14" t="s">
        <v>21</v>
      </c>
      <c r="W7" s="15" t="s">
        <v>22</v>
      </c>
      <c r="X7" s="14" t="s">
        <v>21</v>
      </c>
      <c r="Y7" s="15" t="s">
        <v>22</v>
      </c>
      <c r="Z7" s="13" t="s">
        <v>21</v>
      </c>
      <c r="AA7" s="12" t="s">
        <v>22</v>
      </c>
      <c r="AB7" s="14" t="s">
        <v>21</v>
      </c>
      <c r="AC7" s="15" t="s">
        <v>22</v>
      </c>
      <c r="AD7" s="14" t="s">
        <v>21</v>
      </c>
      <c r="AE7" s="15" t="s">
        <v>22</v>
      </c>
      <c r="AF7" s="14" t="s">
        <v>21</v>
      </c>
      <c r="AG7" s="15" t="s">
        <v>22</v>
      </c>
      <c r="AH7" s="14" t="s">
        <v>21</v>
      </c>
      <c r="AI7" s="15" t="s">
        <v>22</v>
      </c>
      <c r="AJ7" s="14" t="s">
        <v>21</v>
      </c>
      <c r="AK7" s="15" t="s">
        <v>22</v>
      </c>
      <c r="AL7" s="14" t="s">
        <v>21</v>
      </c>
      <c r="AM7" s="15" t="s">
        <v>22</v>
      </c>
      <c r="AN7" s="14" t="s">
        <v>21</v>
      </c>
      <c r="AO7" s="15" t="s">
        <v>22</v>
      </c>
      <c r="AP7" s="14" t="s">
        <v>21</v>
      </c>
      <c r="AQ7" s="15" t="s">
        <v>22</v>
      </c>
      <c r="AR7" s="14" t="s">
        <v>21</v>
      </c>
      <c r="AS7" s="15" t="s">
        <v>22</v>
      </c>
      <c r="AT7" s="16" t="s">
        <v>30</v>
      </c>
    </row>
    <row r="8" spans="1:47" s="345" customFormat="1" ht="30" customHeight="1" x14ac:dyDescent="0.25">
      <c r="A8" s="327" t="s">
        <v>28</v>
      </c>
      <c r="B8" s="327"/>
      <c r="C8" s="328"/>
      <c r="D8" s="334">
        <v>0</v>
      </c>
      <c r="E8" s="335"/>
      <c r="F8" s="336">
        <v>73361.740000000005</v>
      </c>
      <c r="G8" s="337"/>
      <c r="H8" s="338"/>
      <c r="I8" s="339"/>
      <c r="J8" s="339"/>
      <c r="K8" s="339"/>
      <c r="L8" s="339"/>
      <c r="M8" s="339"/>
      <c r="N8" s="339"/>
      <c r="O8" s="339"/>
      <c r="P8" s="340"/>
      <c r="Q8" s="340"/>
      <c r="R8" s="340"/>
      <c r="S8" s="340"/>
      <c r="T8" s="340"/>
      <c r="U8" s="341"/>
      <c r="V8" s="342"/>
      <c r="W8" s="343"/>
      <c r="X8" s="342"/>
      <c r="Y8" s="343"/>
      <c r="Z8" s="344"/>
      <c r="AA8" s="341"/>
      <c r="AB8" s="342"/>
      <c r="AC8" s="343"/>
      <c r="AD8" s="342"/>
      <c r="AE8" s="343"/>
      <c r="AF8" s="342"/>
      <c r="AG8" s="343"/>
      <c r="AH8" s="342"/>
      <c r="AI8" s="343"/>
      <c r="AJ8" s="342"/>
      <c r="AK8" s="343"/>
      <c r="AL8" s="342"/>
      <c r="AM8" s="343"/>
      <c r="AN8" s="342"/>
      <c r="AO8" s="343"/>
      <c r="AP8" s="342"/>
      <c r="AQ8" s="343"/>
      <c r="AR8" s="342"/>
      <c r="AS8" s="343"/>
      <c r="AT8" s="7"/>
    </row>
    <row r="9" spans="1:47" s="345" customFormat="1" ht="30" customHeight="1" x14ac:dyDescent="0.25">
      <c r="A9" s="330">
        <v>1</v>
      </c>
      <c r="B9" s="331">
        <v>41760</v>
      </c>
      <c r="C9" s="328" t="s">
        <v>591</v>
      </c>
      <c r="D9" s="346"/>
      <c r="E9" s="347"/>
      <c r="F9" s="348"/>
      <c r="G9" s="349"/>
      <c r="H9" s="350"/>
      <c r="I9" s="351"/>
      <c r="J9" s="351"/>
      <c r="K9" s="351"/>
      <c r="L9" s="351"/>
      <c r="M9" s="351"/>
      <c r="N9" s="351"/>
      <c r="O9" s="351"/>
      <c r="P9" s="352"/>
      <c r="Q9" s="352"/>
      <c r="R9" s="352"/>
      <c r="S9" s="352"/>
      <c r="T9" s="352"/>
      <c r="U9" s="353"/>
      <c r="V9" s="354">
        <v>-13000</v>
      </c>
      <c r="W9" s="355"/>
      <c r="X9" s="354"/>
      <c r="Y9" s="355"/>
      <c r="Z9" s="356"/>
      <c r="AA9" s="353"/>
      <c r="AB9" s="354"/>
      <c r="AC9" s="355"/>
      <c r="AD9" s="354"/>
      <c r="AE9" s="355"/>
      <c r="AF9" s="354"/>
      <c r="AG9" s="355"/>
      <c r="AH9" s="354"/>
      <c r="AI9" s="355"/>
      <c r="AJ9" s="354"/>
      <c r="AK9" s="355"/>
      <c r="AL9" s="354"/>
      <c r="AM9" s="355"/>
      <c r="AN9" s="354"/>
      <c r="AO9" s="355"/>
      <c r="AP9" s="354"/>
      <c r="AQ9" s="355"/>
      <c r="AR9" s="354"/>
      <c r="AS9" s="355"/>
      <c r="AT9" s="65"/>
      <c r="AU9" s="357"/>
    </row>
    <row r="10" spans="1:47" s="345" customFormat="1" ht="30" customHeight="1" x14ac:dyDescent="0.25">
      <c r="A10" s="330">
        <v>2</v>
      </c>
      <c r="B10" s="331">
        <v>41760</v>
      </c>
      <c r="C10" s="328" t="s">
        <v>592</v>
      </c>
      <c r="D10" s="346"/>
      <c r="E10" s="347"/>
      <c r="F10" s="348"/>
      <c r="G10" s="349"/>
      <c r="H10" s="350"/>
      <c r="I10" s="351"/>
      <c r="J10" s="351"/>
      <c r="K10" s="351"/>
      <c r="L10" s="351"/>
      <c r="M10" s="351"/>
      <c r="N10" s="351"/>
      <c r="O10" s="351"/>
      <c r="P10" s="352"/>
      <c r="Q10" s="352"/>
      <c r="R10" s="352"/>
      <c r="S10" s="352"/>
      <c r="T10" s="352"/>
      <c r="U10" s="353"/>
      <c r="V10" s="354"/>
      <c r="W10" s="355"/>
      <c r="X10" s="354"/>
      <c r="Y10" s="355"/>
      <c r="Z10" s="356"/>
      <c r="AA10" s="353"/>
      <c r="AB10" s="354"/>
      <c r="AC10" s="355"/>
      <c r="AD10" s="354"/>
      <c r="AE10" s="355"/>
      <c r="AF10" s="354"/>
      <c r="AG10" s="355"/>
      <c r="AH10" s="354"/>
      <c r="AI10" s="355"/>
      <c r="AJ10" s="354"/>
      <c r="AK10" s="355"/>
      <c r="AL10" s="354"/>
      <c r="AM10" s="355"/>
      <c r="AN10" s="354"/>
      <c r="AO10" s="355"/>
      <c r="AP10" s="354"/>
      <c r="AQ10" s="355"/>
      <c r="AR10" s="354">
        <v>-500</v>
      </c>
      <c r="AS10" s="355"/>
      <c r="AT10" s="65"/>
      <c r="AU10" s="357"/>
    </row>
    <row r="11" spans="1:47" s="345" customFormat="1" ht="30" customHeight="1" x14ac:dyDescent="0.25">
      <c r="A11" s="330">
        <v>3</v>
      </c>
      <c r="B11" s="331">
        <v>41765</v>
      </c>
      <c r="C11" s="328" t="s">
        <v>519</v>
      </c>
      <c r="D11" s="346"/>
      <c r="E11" s="347"/>
      <c r="F11" s="348"/>
      <c r="G11" s="349">
        <v>3</v>
      </c>
      <c r="H11" s="350"/>
      <c r="I11" s="351"/>
      <c r="J11" s="351"/>
      <c r="K11" s="351"/>
      <c r="L11" s="351"/>
      <c r="M11" s="351"/>
      <c r="N11" s="351"/>
      <c r="O11" s="351"/>
      <c r="P11" s="352"/>
      <c r="Q11" s="352"/>
      <c r="R11" s="352"/>
      <c r="S11" s="352"/>
      <c r="T11" s="352"/>
      <c r="U11" s="353"/>
      <c r="V11" s="354"/>
      <c r="W11" s="355"/>
      <c r="X11" s="354"/>
      <c r="Y11" s="355"/>
      <c r="Z11" s="356"/>
      <c r="AA11" s="353"/>
      <c r="AB11" s="354"/>
      <c r="AC11" s="355"/>
      <c r="AD11" s="354"/>
      <c r="AE11" s="355"/>
      <c r="AF11" s="354"/>
      <c r="AG11" s="355"/>
      <c r="AH11" s="354"/>
      <c r="AI11" s="355"/>
      <c r="AJ11" s="354"/>
      <c r="AK11" s="355"/>
      <c r="AL11" s="354"/>
      <c r="AM11" s="355"/>
      <c r="AN11" s="354"/>
      <c r="AO11" s="355"/>
      <c r="AP11" s="354">
        <v>3</v>
      </c>
      <c r="AQ11" s="355"/>
      <c r="AR11" s="354"/>
      <c r="AS11" s="355"/>
      <c r="AT11" s="65"/>
      <c r="AU11" s="357"/>
    </row>
    <row r="12" spans="1:47" s="345" customFormat="1" ht="30" customHeight="1" x14ac:dyDescent="0.25">
      <c r="A12" s="330">
        <v>4</v>
      </c>
      <c r="B12" s="331">
        <v>41785</v>
      </c>
      <c r="C12" s="332" t="s">
        <v>593</v>
      </c>
      <c r="D12" s="346"/>
      <c r="E12" s="347"/>
      <c r="F12" s="348"/>
      <c r="G12" s="349">
        <v>400</v>
      </c>
      <c r="H12" s="350"/>
      <c r="I12" s="351"/>
      <c r="J12" s="351"/>
      <c r="K12" s="351"/>
      <c r="L12" s="351"/>
      <c r="M12" s="351"/>
      <c r="N12" s="351"/>
      <c r="O12" s="351"/>
      <c r="P12" s="352"/>
      <c r="Q12" s="352"/>
      <c r="R12" s="352"/>
      <c r="S12" s="352"/>
      <c r="T12" s="352"/>
      <c r="U12" s="353"/>
      <c r="V12" s="354"/>
      <c r="W12" s="355"/>
      <c r="X12" s="354"/>
      <c r="Y12" s="355"/>
      <c r="Z12" s="356"/>
      <c r="AA12" s="353"/>
      <c r="AB12" s="354"/>
      <c r="AC12" s="355"/>
      <c r="AD12" s="354"/>
      <c r="AE12" s="355"/>
      <c r="AF12" s="354">
        <v>400</v>
      </c>
      <c r="AG12" s="355"/>
      <c r="AH12" s="354"/>
      <c r="AI12" s="355"/>
      <c r="AJ12" s="354"/>
      <c r="AK12" s="355"/>
      <c r="AL12" s="354"/>
      <c r="AM12" s="355"/>
      <c r="AN12" s="354"/>
      <c r="AO12" s="355"/>
      <c r="AP12" s="354"/>
      <c r="AQ12" s="355"/>
      <c r="AR12" s="354"/>
      <c r="AS12" s="355"/>
      <c r="AT12" s="65"/>
      <c r="AU12" s="357"/>
    </row>
    <row r="13" spans="1:47" s="345" customFormat="1" ht="30" customHeight="1" x14ac:dyDescent="0.25">
      <c r="A13" s="330">
        <v>5</v>
      </c>
      <c r="B13" s="331">
        <v>41785</v>
      </c>
      <c r="C13" s="328" t="s">
        <v>594</v>
      </c>
      <c r="D13" s="346"/>
      <c r="E13" s="347"/>
      <c r="F13" s="348"/>
      <c r="G13" s="348">
        <f>1000+500</f>
        <v>1500</v>
      </c>
      <c r="H13" s="350"/>
      <c r="I13" s="351"/>
      <c r="J13" s="351"/>
      <c r="K13" s="351"/>
      <c r="L13" s="351"/>
      <c r="M13" s="351"/>
      <c r="N13" s="351"/>
      <c r="O13" s="351"/>
      <c r="P13" s="352"/>
      <c r="Q13" s="352"/>
      <c r="R13" s="352"/>
      <c r="S13" s="352"/>
      <c r="T13" s="352"/>
      <c r="U13" s="353"/>
      <c r="V13" s="354"/>
      <c r="W13" s="355"/>
      <c r="X13" s="354"/>
      <c r="Y13" s="355"/>
      <c r="Z13" s="356"/>
      <c r="AA13" s="353"/>
      <c r="AB13" s="354"/>
      <c r="AC13" s="355"/>
      <c r="AD13" s="354"/>
      <c r="AE13" s="355"/>
      <c r="AF13" s="354"/>
      <c r="AG13" s="355"/>
      <c r="AH13" s="354"/>
      <c r="AI13" s="355"/>
      <c r="AJ13" s="354"/>
      <c r="AK13" s="355"/>
      <c r="AL13" s="354"/>
      <c r="AM13" s="355"/>
      <c r="AN13" s="354"/>
      <c r="AO13" s="355"/>
      <c r="AP13" s="354"/>
      <c r="AQ13" s="355"/>
      <c r="AR13" s="354">
        <v>1500</v>
      </c>
      <c r="AS13" s="355"/>
      <c r="AT13" s="65"/>
      <c r="AU13" s="357"/>
    </row>
    <row r="14" spans="1:47" s="345" customFormat="1" ht="30" customHeight="1" x14ac:dyDescent="0.25">
      <c r="A14" s="330">
        <v>6</v>
      </c>
      <c r="B14" s="331">
        <v>41785</v>
      </c>
      <c r="C14" s="328" t="s">
        <v>469</v>
      </c>
      <c r="D14" s="346"/>
      <c r="E14" s="347"/>
      <c r="F14" s="348"/>
      <c r="G14" s="349">
        <v>300</v>
      </c>
      <c r="H14" s="350"/>
      <c r="I14" s="351"/>
      <c r="J14" s="351"/>
      <c r="K14" s="351"/>
      <c r="L14" s="351"/>
      <c r="M14" s="351"/>
      <c r="N14" s="351"/>
      <c r="O14" s="351"/>
      <c r="P14" s="352"/>
      <c r="Q14" s="352"/>
      <c r="R14" s="352"/>
      <c r="S14" s="352"/>
      <c r="T14" s="352"/>
      <c r="U14" s="353"/>
      <c r="V14" s="354"/>
      <c r="W14" s="355"/>
      <c r="X14" s="354">
        <v>300</v>
      </c>
      <c r="Y14" s="355"/>
      <c r="Z14" s="356"/>
      <c r="AA14" s="353"/>
      <c r="AB14" s="354"/>
      <c r="AC14" s="355"/>
      <c r="AD14" s="354"/>
      <c r="AE14" s="355"/>
      <c r="AF14" s="354"/>
      <c r="AG14" s="355"/>
      <c r="AH14" s="354"/>
      <c r="AI14" s="355"/>
      <c r="AJ14" s="354"/>
      <c r="AK14" s="355"/>
      <c r="AL14" s="354"/>
      <c r="AM14" s="355"/>
      <c r="AN14" s="354"/>
      <c r="AO14" s="355"/>
      <c r="AP14" s="354"/>
      <c r="AQ14" s="355"/>
      <c r="AR14" s="354"/>
      <c r="AS14" s="355"/>
      <c r="AT14" s="65"/>
      <c r="AU14" s="357"/>
    </row>
    <row r="15" spans="1:47" s="345" customFormat="1" ht="30" customHeight="1" x14ac:dyDescent="0.25">
      <c r="A15" s="330">
        <v>7</v>
      </c>
      <c r="B15" s="331">
        <v>41785</v>
      </c>
      <c r="C15" s="328" t="s">
        <v>595</v>
      </c>
      <c r="D15" s="346"/>
      <c r="E15" s="347"/>
      <c r="F15" s="348"/>
      <c r="G15" s="349">
        <v>13000</v>
      </c>
      <c r="H15" s="350"/>
      <c r="I15" s="351"/>
      <c r="J15" s="351"/>
      <c r="K15" s="351"/>
      <c r="L15" s="351"/>
      <c r="M15" s="351"/>
      <c r="N15" s="351"/>
      <c r="O15" s="351"/>
      <c r="P15" s="352"/>
      <c r="Q15" s="352"/>
      <c r="R15" s="352"/>
      <c r="S15" s="352"/>
      <c r="T15" s="352"/>
      <c r="U15" s="353"/>
      <c r="V15" s="354">
        <v>13000</v>
      </c>
      <c r="W15" s="355"/>
      <c r="X15" s="354"/>
      <c r="Y15" s="355"/>
      <c r="Z15" s="356"/>
      <c r="AA15" s="353"/>
      <c r="AB15" s="354"/>
      <c r="AC15" s="355"/>
      <c r="AD15" s="354"/>
      <c r="AE15" s="355"/>
      <c r="AF15" s="354"/>
      <c r="AG15" s="355"/>
      <c r="AH15" s="354"/>
      <c r="AI15" s="355"/>
      <c r="AJ15" s="354"/>
      <c r="AK15" s="355"/>
      <c r="AL15" s="354"/>
      <c r="AM15" s="355"/>
      <c r="AN15" s="354"/>
      <c r="AO15" s="355"/>
      <c r="AP15" s="354"/>
      <c r="AQ15" s="355"/>
      <c r="AR15" s="354"/>
      <c r="AS15" s="355"/>
      <c r="AT15" s="65"/>
      <c r="AU15" s="357"/>
    </row>
    <row r="16" spans="1:47" s="345" customFormat="1" ht="30" customHeight="1" x14ac:dyDescent="0.25">
      <c r="A16" s="330">
        <v>8</v>
      </c>
      <c r="B16" s="331">
        <v>41789</v>
      </c>
      <c r="C16" s="328" t="s">
        <v>528</v>
      </c>
      <c r="D16" s="346"/>
      <c r="E16" s="347"/>
      <c r="F16" s="348">
        <v>1500</v>
      </c>
      <c r="G16" s="349"/>
      <c r="H16" s="350"/>
      <c r="I16" s="351">
        <v>1500</v>
      </c>
      <c r="J16" s="351"/>
      <c r="K16" s="351"/>
      <c r="L16" s="351"/>
      <c r="M16" s="351"/>
      <c r="N16" s="351"/>
      <c r="O16" s="351"/>
      <c r="P16" s="352"/>
      <c r="Q16" s="352"/>
      <c r="R16" s="352"/>
      <c r="S16" s="352"/>
      <c r="T16" s="352"/>
      <c r="U16" s="353"/>
      <c r="V16" s="354"/>
      <c r="W16" s="355"/>
      <c r="X16" s="354"/>
      <c r="Y16" s="355"/>
      <c r="Z16" s="356"/>
      <c r="AA16" s="353"/>
      <c r="AB16" s="354"/>
      <c r="AC16" s="355"/>
      <c r="AD16" s="354"/>
      <c r="AE16" s="355"/>
      <c r="AF16" s="354"/>
      <c r="AG16" s="355"/>
      <c r="AH16" s="354"/>
      <c r="AI16" s="355"/>
      <c r="AJ16" s="354"/>
      <c r="AK16" s="355"/>
      <c r="AL16" s="354"/>
      <c r="AM16" s="355"/>
      <c r="AN16" s="354"/>
      <c r="AO16" s="355"/>
      <c r="AP16" s="354"/>
      <c r="AQ16" s="355"/>
      <c r="AR16" s="354"/>
      <c r="AS16" s="355"/>
      <c r="AT16" s="65"/>
      <c r="AU16" s="357"/>
    </row>
    <row r="17" spans="1:47" s="345" customFormat="1" ht="30" customHeight="1" x14ac:dyDescent="0.25">
      <c r="A17" s="330">
        <v>9</v>
      </c>
      <c r="B17" s="331">
        <v>41793</v>
      </c>
      <c r="C17" s="328" t="s">
        <v>596</v>
      </c>
      <c r="D17" s="346"/>
      <c r="E17" s="347"/>
      <c r="F17" s="348"/>
      <c r="G17" s="349">
        <v>601</v>
      </c>
      <c r="H17" s="350"/>
      <c r="I17" s="351"/>
      <c r="J17" s="351"/>
      <c r="K17" s="351"/>
      <c r="L17" s="351"/>
      <c r="M17" s="351"/>
      <c r="N17" s="351"/>
      <c r="O17" s="351"/>
      <c r="P17" s="352"/>
      <c r="Q17" s="352"/>
      <c r="R17" s="352"/>
      <c r="S17" s="352"/>
      <c r="T17" s="352"/>
      <c r="U17" s="353"/>
      <c r="V17" s="354"/>
      <c r="W17" s="355"/>
      <c r="X17" s="354"/>
      <c r="Y17" s="355"/>
      <c r="Z17" s="356"/>
      <c r="AA17" s="353"/>
      <c r="AB17" s="354">
        <v>601</v>
      </c>
      <c r="AC17" s="355"/>
      <c r="AD17" s="354"/>
      <c r="AE17" s="355"/>
      <c r="AF17" s="354"/>
      <c r="AG17" s="355"/>
      <c r="AH17" s="354"/>
      <c r="AI17" s="355"/>
      <c r="AJ17" s="354"/>
      <c r="AK17" s="355"/>
      <c r="AL17" s="354"/>
      <c r="AM17" s="355"/>
      <c r="AN17" s="354"/>
      <c r="AO17" s="355"/>
      <c r="AP17" s="354"/>
      <c r="AQ17" s="355"/>
      <c r="AR17" s="354"/>
      <c r="AS17" s="355"/>
      <c r="AT17" s="65"/>
      <c r="AU17" s="357"/>
    </row>
    <row r="18" spans="1:47" s="345" customFormat="1" ht="30" customHeight="1" x14ac:dyDescent="0.25">
      <c r="A18" s="330">
        <v>10</v>
      </c>
      <c r="B18" s="331">
        <v>41794</v>
      </c>
      <c r="C18" s="328" t="s">
        <v>519</v>
      </c>
      <c r="D18" s="346"/>
      <c r="E18" s="347"/>
      <c r="F18" s="348"/>
      <c r="G18" s="349">
        <v>1.5</v>
      </c>
      <c r="H18" s="350"/>
      <c r="I18" s="351"/>
      <c r="J18" s="351"/>
      <c r="K18" s="351"/>
      <c r="L18" s="351"/>
      <c r="M18" s="351"/>
      <c r="N18" s="351"/>
      <c r="O18" s="351"/>
      <c r="P18" s="352"/>
      <c r="Q18" s="352"/>
      <c r="R18" s="352"/>
      <c r="S18" s="352"/>
      <c r="T18" s="352"/>
      <c r="U18" s="353"/>
      <c r="V18" s="354"/>
      <c r="W18" s="355"/>
      <c r="X18" s="354"/>
      <c r="Y18" s="355"/>
      <c r="Z18" s="356"/>
      <c r="AA18" s="353"/>
      <c r="AB18" s="354"/>
      <c r="AC18" s="355"/>
      <c r="AD18" s="354"/>
      <c r="AE18" s="355"/>
      <c r="AF18" s="354"/>
      <c r="AG18" s="355"/>
      <c r="AH18" s="354"/>
      <c r="AI18" s="355"/>
      <c r="AJ18" s="354"/>
      <c r="AK18" s="355"/>
      <c r="AL18" s="354"/>
      <c r="AM18" s="355"/>
      <c r="AN18" s="354"/>
      <c r="AO18" s="355"/>
      <c r="AP18" s="354">
        <v>1.5</v>
      </c>
      <c r="AQ18" s="355"/>
      <c r="AR18" s="354"/>
      <c r="AS18" s="355"/>
      <c r="AT18" s="65"/>
      <c r="AU18" s="357"/>
    </row>
    <row r="19" spans="1:47" s="345" customFormat="1" ht="30" customHeight="1" x14ac:dyDescent="0.25">
      <c r="A19" s="330">
        <v>11</v>
      </c>
      <c r="B19" s="331">
        <v>41802</v>
      </c>
      <c r="C19" s="328" t="s">
        <v>597</v>
      </c>
      <c r="D19" s="346"/>
      <c r="E19" s="347"/>
      <c r="F19" s="348"/>
      <c r="G19" s="349">
        <v>349.9</v>
      </c>
      <c r="H19" s="350"/>
      <c r="I19" s="351"/>
      <c r="J19" s="351"/>
      <c r="K19" s="351"/>
      <c r="L19" s="351"/>
      <c r="M19" s="351"/>
      <c r="N19" s="351"/>
      <c r="O19" s="351"/>
      <c r="P19" s="352"/>
      <c r="Q19" s="352"/>
      <c r="R19" s="352">
        <v>69.900000000000006</v>
      </c>
      <c r="S19" s="352"/>
      <c r="T19" s="352"/>
      <c r="U19" s="353"/>
      <c r="V19" s="354"/>
      <c r="W19" s="355"/>
      <c r="X19" s="354"/>
      <c r="Y19" s="355"/>
      <c r="Z19" s="356"/>
      <c r="AA19" s="353"/>
      <c r="AB19" s="354"/>
      <c r="AC19" s="355"/>
      <c r="AD19" s="354"/>
      <c r="AE19" s="355"/>
      <c r="AF19" s="354"/>
      <c r="AG19" s="355"/>
      <c r="AH19" s="354"/>
      <c r="AI19" s="355"/>
      <c r="AJ19" s="354"/>
      <c r="AK19" s="355"/>
      <c r="AL19" s="354"/>
      <c r="AM19" s="355"/>
      <c r="AN19" s="354">
        <v>280</v>
      </c>
      <c r="AO19" s="355"/>
      <c r="AP19" s="354"/>
      <c r="AQ19" s="355"/>
      <c r="AR19" s="354"/>
      <c r="AS19" s="355"/>
      <c r="AT19" s="65"/>
      <c r="AU19" s="357"/>
    </row>
    <row r="20" spans="1:47" s="345" customFormat="1" ht="30" customHeight="1" x14ac:dyDescent="0.25">
      <c r="A20" s="330">
        <v>12</v>
      </c>
      <c r="B20" s="331">
        <v>41806</v>
      </c>
      <c r="C20" s="328" t="s">
        <v>598</v>
      </c>
      <c r="D20" s="346"/>
      <c r="E20" s="347"/>
      <c r="F20" s="348"/>
      <c r="G20" s="349">
        <v>467</v>
      </c>
      <c r="H20" s="350"/>
      <c r="I20" s="351"/>
      <c r="J20" s="351"/>
      <c r="K20" s="351"/>
      <c r="L20" s="351"/>
      <c r="M20" s="351"/>
      <c r="N20" s="351"/>
      <c r="O20" s="351"/>
      <c r="P20" s="352"/>
      <c r="Q20" s="352"/>
      <c r="R20" s="352"/>
      <c r="S20" s="352"/>
      <c r="T20" s="352"/>
      <c r="U20" s="353"/>
      <c r="V20" s="354"/>
      <c r="W20" s="355"/>
      <c r="X20" s="354"/>
      <c r="Y20" s="355"/>
      <c r="Z20" s="356"/>
      <c r="AA20" s="353"/>
      <c r="AB20" s="354"/>
      <c r="AC20" s="355"/>
      <c r="AD20" s="354"/>
      <c r="AE20" s="355"/>
      <c r="AF20" s="354"/>
      <c r="AG20" s="355"/>
      <c r="AH20" s="354"/>
      <c r="AI20" s="355"/>
      <c r="AJ20" s="354"/>
      <c r="AK20" s="355"/>
      <c r="AL20" s="354"/>
      <c r="AM20" s="355"/>
      <c r="AN20" s="354"/>
      <c r="AO20" s="355"/>
      <c r="AP20" s="354"/>
      <c r="AQ20" s="355"/>
      <c r="AR20" s="354">
        <v>467</v>
      </c>
      <c r="AS20" s="355"/>
      <c r="AT20" s="65"/>
      <c r="AU20" s="357"/>
    </row>
    <row r="21" spans="1:47" s="345" customFormat="1" ht="30" customHeight="1" x14ac:dyDescent="0.25">
      <c r="A21" s="330">
        <v>13</v>
      </c>
      <c r="B21" s="331">
        <v>41806</v>
      </c>
      <c r="C21" s="328" t="s">
        <v>599</v>
      </c>
      <c r="D21" s="346"/>
      <c r="E21" s="347"/>
      <c r="F21" s="348"/>
      <c r="G21" s="349">
        <v>782.9</v>
      </c>
      <c r="H21" s="350"/>
      <c r="I21" s="351"/>
      <c r="J21" s="351"/>
      <c r="K21" s="351"/>
      <c r="L21" s="351"/>
      <c r="M21" s="351"/>
      <c r="N21" s="351"/>
      <c r="O21" s="351"/>
      <c r="P21" s="352"/>
      <c r="Q21" s="352"/>
      <c r="R21" s="352"/>
      <c r="S21" s="352"/>
      <c r="T21" s="352"/>
      <c r="U21" s="353"/>
      <c r="V21" s="354"/>
      <c r="W21" s="355"/>
      <c r="X21" s="354"/>
      <c r="Y21" s="355"/>
      <c r="Z21" s="356"/>
      <c r="AA21" s="353"/>
      <c r="AB21" s="354"/>
      <c r="AC21" s="355"/>
      <c r="AD21" s="354"/>
      <c r="AE21" s="355"/>
      <c r="AF21" s="354"/>
      <c r="AG21" s="355"/>
      <c r="AH21" s="354"/>
      <c r="AI21" s="355"/>
      <c r="AJ21" s="354">
        <v>782.9</v>
      </c>
      <c r="AK21" s="355"/>
      <c r="AL21" s="354"/>
      <c r="AM21" s="355"/>
      <c r="AN21" s="354"/>
      <c r="AO21" s="355"/>
      <c r="AP21" s="354"/>
      <c r="AQ21" s="355"/>
      <c r="AR21" s="354"/>
      <c r="AS21" s="355"/>
      <c r="AT21" s="65"/>
      <c r="AU21" s="357"/>
    </row>
    <row r="22" spans="1:47" s="345" customFormat="1" ht="30" customHeight="1" x14ac:dyDescent="0.25">
      <c r="A22" s="330">
        <v>14</v>
      </c>
      <c r="B22" s="331">
        <v>41806</v>
      </c>
      <c r="C22" s="328" t="s">
        <v>611</v>
      </c>
      <c r="D22" s="346"/>
      <c r="E22" s="347"/>
      <c r="F22" s="348"/>
      <c r="G22" s="349">
        <v>983.79</v>
      </c>
      <c r="H22" s="350"/>
      <c r="I22" s="351"/>
      <c r="J22" s="351"/>
      <c r="K22" s="351"/>
      <c r="L22" s="351"/>
      <c r="M22" s="351"/>
      <c r="N22" s="351"/>
      <c r="O22" s="351"/>
      <c r="P22" s="352"/>
      <c r="Q22" s="352"/>
      <c r="R22" s="352"/>
      <c r="S22" s="352"/>
      <c r="T22" s="352"/>
      <c r="U22" s="353"/>
      <c r="V22" s="354"/>
      <c r="W22" s="355"/>
      <c r="X22" s="354">
        <v>983.79</v>
      </c>
      <c r="Y22" s="355"/>
      <c r="Z22" s="356"/>
      <c r="AA22" s="353"/>
      <c r="AB22" s="354"/>
      <c r="AC22" s="355"/>
      <c r="AD22" s="354"/>
      <c r="AE22" s="355"/>
      <c r="AF22" s="354"/>
      <c r="AG22" s="355"/>
      <c r="AH22" s="354"/>
      <c r="AI22" s="355"/>
      <c r="AJ22" s="354"/>
      <c r="AK22" s="355"/>
      <c r="AL22" s="354"/>
      <c r="AM22" s="355"/>
      <c r="AN22" s="354"/>
      <c r="AO22" s="355"/>
      <c r="AP22" s="354"/>
      <c r="AQ22" s="355"/>
      <c r="AR22" s="354"/>
      <c r="AS22" s="355"/>
      <c r="AT22" s="65"/>
      <c r="AU22" s="357"/>
    </row>
    <row r="23" spans="1:47" s="345" customFormat="1" ht="30" customHeight="1" x14ac:dyDescent="0.25">
      <c r="A23" s="330">
        <v>15</v>
      </c>
      <c r="B23" s="331">
        <v>41807</v>
      </c>
      <c r="C23" s="328" t="s">
        <v>605</v>
      </c>
      <c r="D23" s="346"/>
      <c r="E23" s="347"/>
      <c r="F23" s="348"/>
      <c r="G23" s="349">
        <f>15970</f>
        <v>15970</v>
      </c>
      <c r="H23" s="350"/>
      <c r="I23" s="351"/>
      <c r="J23" s="351"/>
      <c r="K23" s="351"/>
      <c r="L23" s="351"/>
      <c r="M23" s="351"/>
      <c r="N23" s="351"/>
      <c r="O23" s="351"/>
      <c r="P23" s="352"/>
      <c r="Q23" s="352"/>
      <c r="R23" s="352"/>
      <c r="S23" s="352"/>
      <c r="T23" s="352"/>
      <c r="U23" s="353"/>
      <c r="V23" s="354"/>
      <c r="W23" s="355"/>
      <c r="X23" s="354"/>
      <c r="Y23" s="355"/>
      <c r="Z23" s="356"/>
      <c r="AA23" s="353"/>
      <c r="AB23" s="354"/>
      <c r="AC23" s="355"/>
      <c r="AD23" s="354"/>
      <c r="AE23" s="355"/>
      <c r="AF23" s="354">
        <f>8970+400</f>
        <v>9370</v>
      </c>
      <c r="AG23" s="355"/>
      <c r="AH23" s="354">
        <f>1200+1200+1000+1200+800+1000+200</f>
        <v>6600</v>
      </c>
      <c r="AI23" s="355"/>
      <c r="AJ23" s="354"/>
      <c r="AK23" s="355"/>
      <c r="AL23" s="354"/>
      <c r="AM23" s="355"/>
      <c r="AN23" s="354"/>
      <c r="AO23" s="355"/>
      <c r="AP23" s="354"/>
      <c r="AQ23" s="355"/>
      <c r="AR23" s="354"/>
      <c r="AS23" s="355"/>
      <c r="AT23" s="65"/>
      <c r="AU23" s="357"/>
    </row>
    <row r="24" spans="1:47" s="345" customFormat="1" ht="30" customHeight="1" x14ac:dyDescent="0.25">
      <c r="A24" s="330">
        <v>16</v>
      </c>
      <c r="B24" s="331">
        <v>41808</v>
      </c>
      <c r="C24" s="328" t="s">
        <v>9</v>
      </c>
      <c r="D24" s="346"/>
      <c r="E24" s="347"/>
      <c r="F24" s="348"/>
      <c r="G24" s="349">
        <v>1600</v>
      </c>
      <c r="H24" s="350"/>
      <c r="I24" s="351"/>
      <c r="J24" s="351"/>
      <c r="K24" s="351"/>
      <c r="L24" s="351"/>
      <c r="M24" s="351"/>
      <c r="N24" s="351"/>
      <c r="O24" s="351"/>
      <c r="P24" s="352"/>
      <c r="Q24" s="352"/>
      <c r="R24" s="352"/>
      <c r="S24" s="352"/>
      <c r="T24" s="352"/>
      <c r="U24" s="353"/>
      <c r="V24" s="354"/>
      <c r="W24" s="355"/>
      <c r="X24" s="354"/>
      <c r="Y24" s="355"/>
      <c r="Z24" s="356"/>
      <c r="AA24" s="353"/>
      <c r="AB24" s="354"/>
      <c r="AC24" s="355"/>
      <c r="AD24" s="354"/>
      <c r="AE24" s="355"/>
      <c r="AF24" s="354"/>
      <c r="AG24" s="355"/>
      <c r="AH24" s="354">
        <v>1600</v>
      </c>
      <c r="AI24" s="355"/>
      <c r="AJ24" s="354"/>
      <c r="AK24" s="355"/>
      <c r="AL24" s="354"/>
      <c r="AM24" s="355"/>
      <c r="AN24" s="354"/>
      <c r="AO24" s="355"/>
      <c r="AP24" s="354"/>
      <c r="AQ24" s="355"/>
      <c r="AR24" s="354"/>
      <c r="AS24" s="355"/>
      <c r="AT24" s="65"/>
      <c r="AU24" s="357"/>
    </row>
    <row r="25" spans="1:47" s="345" customFormat="1" ht="30" customHeight="1" x14ac:dyDescent="0.25">
      <c r="A25" s="330">
        <v>17</v>
      </c>
      <c r="B25" s="331">
        <v>41817</v>
      </c>
      <c r="C25" s="328" t="s">
        <v>528</v>
      </c>
      <c r="D25" s="346"/>
      <c r="E25" s="347"/>
      <c r="F25" s="348">
        <v>1500</v>
      </c>
      <c r="G25" s="349"/>
      <c r="H25" s="350"/>
      <c r="I25" s="351">
        <v>1500</v>
      </c>
      <c r="J25" s="351"/>
      <c r="K25" s="351"/>
      <c r="L25" s="351"/>
      <c r="M25" s="351"/>
      <c r="N25" s="351"/>
      <c r="O25" s="351"/>
      <c r="P25" s="352"/>
      <c r="Q25" s="352"/>
      <c r="R25" s="352"/>
      <c r="S25" s="352"/>
      <c r="T25" s="352"/>
      <c r="U25" s="353"/>
      <c r="V25" s="354"/>
      <c r="W25" s="355"/>
      <c r="X25" s="354"/>
      <c r="Y25" s="355"/>
      <c r="Z25" s="356"/>
      <c r="AA25" s="353"/>
      <c r="AB25" s="354"/>
      <c r="AC25" s="355"/>
      <c r="AD25" s="354"/>
      <c r="AE25" s="355"/>
      <c r="AF25" s="354"/>
      <c r="AG25" s="355"/>
      <c r="AH25" s="354"/>
      <c r="AI25" s="355"/>
      <c r="AJ25" s="354"/>
      <c r="AK25" s="355"/>
      <c r="AL25" s="354"/>
      <c r="AM25" s="355"/>
      <c r="AN25" s="354"/>
      <c r="AO25" s="355"/>
      <c r="AP25" s="354"/>
      <c r="AQ25" s="355"/>
      <c r="AR25" s="354"/>
      <c r="AS25" s="355"/>
      <c r="AT25" s="65"/>
      <c r="AU25" s="357"/>
    </row>
    <row r="26" spans="1:47" s="345" customFormat="1" ht="30" customHeight="1" x14ac:dyDescent="0.25">
      <c r="A26" s="330">
        <v>18</v>
      </c>
      <c r="B26" s="331">
        <v>41820</v>
      </c>
      <c r="C26" s="328" t="s">
        <v>635</v>
      </c>
      <c r="D26" s="346"/>
      <c r="E26" s="347"/>
      <c r="F26" s="348"/>
      <c r="G26" s="349">
        <v>8060</v>
      </c>
      <c r="H26" s="350"/>
      <c r="I26" s="351"/>
      <c r="J26" s="351"/>
      <c r="K26" s="351"/>
      <c r="L26" s="351"/>
      <c r="M26" s="351"/>
      <c r="N26" s="351"/>
      <c r="O26" s="351"/>
      <c r="P26" s="352"/>
      <c r="Q26" s="352"/>
      <c r="R26" s="352"/>
      <c r="S26" s="352"/>
      <c r="T26" s="352"/>
      <c r="U26" s="353"/>
      <c r="V26" s="354"/>
      <c r="W26" s="355"/>
      <c r="X26" s="354">
        <v>8060</v>
      </c>
      <c r="Y26" s="355"/>
      <c r="Z26" s="356"/>
      <c r="AA26" s="353"/>
      <c r="AB26" s="354"/>
      <c r="AC26" s="355"/>
      <c r="AD26" s="354"/>
      <c r="AE26" s="355"/>
      <c r="AF26" s="354"/>
      <c r="AG26" s="355"/>
      <c r="AH26" s="354"/>
      <c r="AI26" s="355"/>
      <c r="AJ26" s="354"/>
      <c r="AK26" s="355"/>
      <c r="AL26" s="354"/>
      <c r="AM26" s="355"/>
      <c r="AN26" s="354"/>
      <c r="AO26" s="355"/>
      <c r="AP26" s="354"/>
      <c r="AQ26" s="355"/>
      <c r="AR26" s="354"/>
      <c r="AS26" s="355"/>
      <c r="AT26" s="65"/>
      <c r="AU26" s="357"/>
    </row>
    <row r="27" spans="1:47" s="345" customFormat="1" ht="30" customHeight="1" x14ac:dyDescent="0.25">
      <c r="A27" s="330">
        <v>19</v>
      </c>
      <c r="B27" s="331">
        <v>41823</v>
      </c>
      <c r="C27" s="328" t="s">
        <v>519</v>
      </c>
      <c r="D27" s="346"/>
      <c r="E27" s="347"/>
      <c r="F27" s="348"/>
      <c r="G27" s="349">
        <v>1.5</v>
      </c>
      <c r="H27" s="350"/>
      <c r="I27" s="351"/>
      <c r="J27" s="351"/>
      <c r="K27" s="351"/>
      <c r="L27" s="351"/>
      <c r="M27" s="351"/>
      <c r="N27" s="351"/>
      <c r="O27" s="351"/>
      <c r="P27" s="352"/>
      <c r="Q27" s="352"/>
      <c r="R27" s="352"/>
      <c r="S27" s="352"/>
      <c r="T27" s="352"/>
      <c r="U27" s="353"/>
      <c r="V27" s="354"/>
      <c r="W27" s="355"/>
      <c r="X27" s="354"/>
      <c r="Y27" s="355"/>
      <c r="Z27" s="356"/>
      <c r="AA27" s="353"/>
      <c r="AB27" s="354"/>
      <c r="AC27" s="355"/>
      <c r="AD27" s="354"/>
      <c r="AE27" s="355"/>
      <c r="AF27" s="354"/>
      <c r="AG27" s="355"/>
      <c r="AH27" s="354"/>
      <c r="AI27" s="355"/>
      <c r="AJ27" s="354"/>
      <c r="AK27" s="355"/>
      <c r="AL27" s="354"/>
      <c r="AM27" s="355"/>
      <c r="AN27" s="354"/>
      <c r="AO27" s="355"/>
      <c r="AP27" s="354">
        <v>1.5</v>
      </c>
      <c r="AQ27" s="355"/>
      <c r="AR27" s="354"/>
      <c r="AS27" s="355"/>
      <c r="AT27" s="65"/>
      <c r="AU27" s="357"/>
    </row>
    <row r="28" spans="1:47" s="345" customFormat="1" ht="30" customHeight="1" x14ac:dyDescent="0.25">
      <c r="A28" s="330">
        <v>20</v>
      </c>
      <c r="B28" s="331">
        <v>41824</v>
      </c>
      <c r="C28" s="328" t="s">
        <v>649</v>
      </c>
      <c r="D28" s="346"/>
      <c r="E28" s="347"/>
      <c r="F28" s="348"/>
      <c r="G28" s="349">
        <v>2475</v>
      </c>
      <c r="H28" s="350"/>
      <c r="I28" s="351"/>
      <c r="J28" s="351"/>
      <c r="K28" s="351"/>
      <c r="L28" s="351"/>
      <c r="M28" s="351"/>
      <c r="N28" s="351"/>
      <c r="O28" s="351"/>
      <c r="P28" s="352"/>
      <c r="Q28" s="352"/>
      <c r="R28" s="352"/>
      <c r="S28" s="352"/>
      <c r="T28" s="352">
        <v>2475</v>
      </c>
      <c r="U28" s="353"/>
      <c r="V28" s="354"/>
      <c r="W28" s="355"/>
      <c r="X28" s="354"/>
      <c r="Y28" s="355"/>
      <c r="Z28" s="356"/>
      <c r="AA28" s="353"/>
      <c r="AB28" s="354"/>
      <c r="AC28" s="355"/>
      <c r="AD28" s="354"/>
      <c r="AE28" s="355"/>
      <c r="AF28" s="354"/>
      <c r="AG28" s="355"/>
      <c r="AH28" s="354"/>
      <c r="AI28" s="355"/>
      <c r="AJ28" s="354"/>
      <c r="AK28" s="355"/>
      <c r="AL28" s="354"/>
      <c r="AM28" s="355"/>
      <c r="AN28" s="354"/>
      <c r="AO28" s="355"/>
      <c r="AP28" s="354"/>
      <c r="AQ28" s="355"/>
      <c r="AR28" s="354"/>
      <c r="AS28" s="355"/>
      <c r="AT28" s="65"/>
      <c r="AU28" s="357"/>
    </row>
    <row r="29" spans="1:47" s="345" customFormat="1" ht="30" customHeight="1" x14ac:dyDescent="0.25">
      <c r="A29" s="330">
        <v>21</v>
      </c>
      <c r="B29" s="331">
        <v>41829</v>
      </c>
      <c r="C29" s="328" t="s">
        <v>650</v>
      </c>
      <c r="D29" s="346"/>
      <c r="E29" s="347"/>
      <c r="F29" s="348"/>
      <c r="G29" s="349">
        <v>1500</v>
      </c>
      <c r="H29" s="350"/>
      <c r="I29" s="351"/>
      <c r="J29" s="351"/>
      <c r="K29" s="351"/>
      <c r="L29" s="351"/>
      <c r="M29" s="351"/>
      <c r="N29" s="351"/>
      <c r="O29" s="351"/>
      <c r="P29" s="352"/>
      <c r="Q29" s="352"/>
      <c r="R29" s="352"/>
      <c r="S29" s="352"/>
      <c r="T29" s="352"/>
      <c r="U29" s="353"/>
      <c r="V29" s="354"/>
      <c r="W29" s="355"/>
      <c r="X29" s="354"/>
      <c r="Y29" s="355"/>
      <c r="Z29" s="356">
        <v>1500</v>
      </c>
      <c r="AA29" s="353"/>
      <c r="AB29" s="354"/>
      <c r="AC29" s="355"/>
      <c r="AD29" s="354"/>
      <c r="AE29" s="355"/>
      <c r="AF29" s="354"/>
      <c r="AG29" s="355"/>
      <c r="AH29" s="354"/>
      <c r="AI29" s="355"/>
      <c r="AJ29" s="354"/>
      <c r="AK29" s="355"/>
      <c r="AL29" s="354"/>
      <c r="AM29" s="355"/>
      <c r="AN29" s="354"/>
      <c r="AO29" s="355"/>
      <c r="AP29" s="354"/>
      <c r="AQ29" s="355"/>
      <c r="AR29" s="354"/>
      <c r="AS29" s="355"/>
      <c r="AT29" s="65"/>
      <c r="AU29" s="357"/>
    </row>
    <row r="30" spans="1:47" s="345" customFormat="1" ht="30" customHeight="1" x14ac:dyDescent="0.25">
      <c r="A30" s="330">
        <v>22</v>
      </c>
      <c r="B30" s="331">
        <v>41837</v>
      </c>
      <c r="C30" s="328" t="s">
        <v>528</v>
      </c>
      <c r="D30" s="346"/>
      <c r="E30" s="347"/>
      <c r="F30" s="348">
        <v>1500</v>
      </c>
      <c r="G30" s="349"/>
      <c r="H30" s="350"/>
      <c r="I30" s="351">
        <v>1500</v>
      </c>
      <c r="J30" s="351"/>
      <c r="K30" s="351"/>
      <c r="L30" s="351"/>
      <c r="M30" s="351"/>
      <c r="N30" s="351"/>
      <c r="O30" s="351"/>
      <c r="P30" s="352"/>
      <c r="Q30" s="352"/>
      <c r="R30" s="352"/>
      <c r="S30" s="352"/>
      <c r="T30" s="352"/>
      <c r="U30" s="353"/>
      <c r="V30" s="354"/>
      <c r="W30" s="355"/>
      <c r="X30" s="354"/>
      <c r="Y30" s="355"/>
      <c r="Z30" s="356"/>
      <c r="AA30" s="353"/>
      <c r="AB30" s="354"/>
      <c r="AC30" s="355"/>
      <c r="AD30" s="354"/>
      <c r="AE30" s="355"/>
      <c r="AF30" s="354"/>
      <c r="AG30" s="355"/>
      <c r="AH30" s="354"/>
      <c r="AI30" s="355"/>
      <c r="AJ30" s="354"/>
      <c r="AK30" s="355"/>
      <c r="AL30" s="354"/>
      <c r="AM30" s="355"/>
      <c r="AN30" s="354"/>
      <c r="AO30" s="355"/>
      <c r="AP30" s="354"/>
      <c r="AQ30" s="355"/>
      <c r="AR30" s="354"/>
      <c r="AS30" s="355"/>
      <c r="AT30" s="65"/>
      <c r="AU30" s="357"/>
    </row>
    <row r="31" spans="1:47" s="345" customFormat="1" ht="30" customHeight="1" x14ac:dyDescent="0.25">
      <c r="A31" s="330">
        <v>23</v>
      </c>
      <c r="B31" s="331">
        <v>41841</v>
      </c>
      <c r="C31" s="328" t="s">
        <v>1</v>
      </c>
      <c r="D31" s="346"/>
      <c r="E31" s="347"/>
      <c r="F31" s="348">
        <v>7500</v>
      </c>
      <c r="G31" s="349"/>
      <c r="H31" s="350"/>
      <c r="I31" s="351">
        <v>7500</v>
      </c>
      <c r="J31" s="351"/>
      <c r="K31" s="351"/>
      <c r="L31" s="351"/>
      <c r="M31" s="351"/>
      <c r="N31" s="351"/>
      <c r="O31" s="351"/>
      <c r="P31" s="352"/>
      <c r="Q31" s="352"/>
      <c r="R31" s="352"/>
      <c r="S31" s="352"/>
      <c r="T31" s="352"/>
      <c r="U31" s="353"/>
      <c r="V31" s="354"/>
      <c r="W31" s="355"/>
      <c r="X31" s="354"/>
      <c r="Y31" s="355"/>
      <c r="Z31" s="356"/>
      <c r="AA31" s="353"/>
      <c r="AB31" s="354"/>
      <c r="AC31" s="355"/>
      <c r="AD31" s="354"/>
      <c r="AE31" s="355"/>
      <c r="AF31" s="354"/>
      <c r="AG31" s="355"/>
      <c r="AH31" s="354"/>
      <c r="AI31" s="355"/>
      <c r="AJ31" s="354"/>
      <c r="AK31" s="355"/>
      <c r="AL31" s="354"/>
      <c r="AM31" s="355"/>
      <c r="AN31" s="354"/>
      <c r="AO31" s="355"/>
      <c r="AP31" s="354"/>
      <c r="AQ31" s="355"/>
      <c r="AR31" s="354"/>
      <c r="AS31" s="355"/>
      <c r="AT31" s="65"/>
      <c r="AU31" s="357"/>
    </row>
    <row r="32" spans="1:47" s="345" customFormat="1" ht="30" customHeight="1" x14ac:dyDescent="0.25">
      <c r="A32" s="330">
        <v>24</v>
      </c>
      <c r="B32" s="331">
        <v>41843</v>
      </c>
      <c r="C32" s="328" t="s">
        <v>1</v>
      </c>
      <c r="D32" s="346"/>
      <c r="E32" s="347"/>
      <c r="F32" s="348">
        <v>4500</v>
      </c>
      <c r="G32" s="349"/>
      <c r="H32" s="350"/>
      <c r="I32" s="351">
        <v>4500</v>
      </c>
      <c r="J32" s="351"/>
      <c r="K32" s="351"/>
      <c r="L32" s="351"/>
      <c r="M32" s="351"/>
      <c r="N32" s="351"/>
      <c r="O32" s="351"/>
      <c r="P32" s="352"/>
      <c r="Q32" s="352"/>
      <c r="R32" s="352"/>
      <c r="S32" s="352"/>
      <c r="T32" s="352"/>
      <c r="U32" s="353"/>
      <c r="V32" s="354"/>
      <c r="W32" s="355"/>
      <c r="X32" s="354"/>
      <c r="Y32" s="355"/>
      <c r="Z32" s="356"/>
      <c r="AA32" s="353"/>
      <c r="AB32" s="354"/>
      <c r="AC32" s="355"/>
      <c r="AD32" s="354"/>
      <c r="AE32" s="355"/>
      <c r="AF32" s="354"/>
      <c r="AG32" s="355"/>
      <c r="AH32" s="354"/>
      <c r="AI32" s="355"/>
      <c r="AJ32" s="354"/>
      <c r="AK32" s="355"/>
      <c r="AL32" s="354"/>
      <c r="AM32" s="355"/>
      <c r="AN32" s="354"/>
      <c r="AO32" s="355"/>
      <c r="AP32" s="354"/>
      <c r="AQ32" s="355"/>
      <c r="AR32" s="354"/>
      <c r="AS32" s="355"/>
      <c r="AT32" s="65"/>
      <c r="AU32" s="357"/>
    </row>
    <row r="33" spans="1:47" s="345" customFormat="1" ht="30" customHeight="1" x14ac:dyDescent="0.25">
      <c r="A33" s="330">
        <v>25</v>
      </c>
      <c r="B33" s="331">
        <v>41844</v>
      </c>
      <c r="C33" s="328" t="s">
        <v>1</v>
      </c>
      <c r="D33" s="346"/>
      <c r="E33" s="347"/>
      <c r="F33" s="348">
        <v>4500</v>
      </c>
      <c r="G33" s="349"/>
      <c r="H33" s="350"/>
      <c r="I33" s="351">
        <v>4500</v>
      </c>
      <c r="J33" s="351"/>
      <c r="K33" s="351"/>
      <c r="L33" s="351"/>
      <c r="M33" s="351"/>
      <c r="N33" s="351"/>
      <c r="O33" s="351"/>
      <c r="P33" s="352"/>
      <c r="Q33" s="352"/>
      <c r="R33" s="352"/>
      <c r="S33" s="352"/>
      <c r="T33" s="352"/>
      <c r="U33" s="353"/>
      <c r="V33" s="354"/>
      <c r="W33" s="355"/>
      <c r="X33" s="354"/>
      <c r="Y33" s="355"/>
      <c r="Z33" s="356"/>
      <c r="AA33" s="353"/>
      <c r="AB33" s="354"/>
      <c r="AC33" s="355"/>
      <c r="AD33" s="354"/>
      <c r="AE33" s="355"/>
      <c r="AF33" s="354"/>
      <c r="AG33" s="355"/>
      <c r="AH33" s="354"/>
      <c r="AI33" s="355"/>
      <c r="AJ33" s="354"/>
      <c r="AK33" s="355"/>
      <c r="AL33" s="354"/>
      <c r="AM33" s="355"/>
      <c r="AN33" s="354"/>
      <c r="AO33" s="355"/>
      <c r="AP33" s="354"/>
      <c r="AQ33" s="355"/>
      <c r="AR33" s="354"/>
      <c r="AS33" s="355"/>
      <c r="AT33" s="65"/>
      <c r="AU33" s="357"/>
    </row>
    <row r="34" spans="1:47" s="345" customFormat="1" ht="30" customHeight="1" x14ac:dyDescent="0.25">
      <c r="A34" s="330">
        <v>26</v>
      </c>
      <c r="B34" s="331">
        <v>41845</v>
      </c>
      <c r="C34" s="328" t="s">
        <v>1</v>
      </c>
      <c r="D34" s="346"/>
      <c r="E34" s="347"/>
      <c r="F34" s="348">
        <v>4500</v>
      </c>
      <c r="G34" s="349"/>
      <c r="H34" s="350"/>
      <c r="I34" s="351">
        <v>4500</v>
      </c>
      <c r="J34" s="351"/>
      <c r="K34" s="351"/>
      <c r="L34" s="351"/>
      <c r="M34" s="351"/>
      <c r="N34" s="351"/>
      <c r="O34" s="351"/>
      <c r="P34" s="352"/>
      <c r="Q34" s="352"/>
      <c r="R34" s="352"/>
      <c r="S34" s="352"/>
      <c r="T34" s="352"/>
      <c r="U34" s="353"/>
      <c r="V34" s="354"/>
      <c r="W34" s="355"/>
      <c r="X34" s="354"/>
      <c r="Y34" s="355"/>
      <c r="Z34" s="356"/>
      <c r="AA34" s="353"/>
      <c r="AB34" s="354"/>
      <c r="AC34" s="355"/>
      <c r="AD34" s="354"/>
      <c r="AE34" s="355"/>
      <c r="AF34" s="354"/>
      <c r="AG34" s="355"/>
      <c r="AH34" s="354"/>
      <c r="AI34" s="355"/>
      <c r="AJ34" s="354"/>
      <c r="AK34" s="355"/>
      <c r="AL34" s="354"/>
      <c r="AM34" s="355"/>
      <c r="AN34" s="354"/>
      <c r="AO34" s="355"/>
      <c r="AP34" s="354"/>
      <c r="AQ34" s="355"/>
      <c r="AR34" s="354"/>
      <c r="AS34" s="355"/>
      <c r="AT34" s="65"/>
      <c r="AU34" s="357"/>
    </row>
    <row r="35" spans="1:47" s="345" customFormat="1" ht="30" customHeight="1" x14ac:dyDescent="0.25">
      <c r="A35" s="330">
        <v>27</v>
      </c>
      <c r="B35" s="331">
        <v>41848</v>
      </c>
      <c r="C35" s="328" t="s">
        <v>1</v>
      </c>
      <c r="D35" s="346"/>
      <c r="E35" s="347"/>
      <c r="F35" s="348">
        <v>13500.6</v>
      </c>
      <c r="G35" s="349"/>
      <c r="H35" s="350"/>
      <c r="I35" s="351">
        <v>13500.6</v>
      </c>
      <c r="J35" s="351"/>
      <c r="K35" s="351"/>
      <c r="L35" s="351"/>
      <c r="M35" s="351"/>
      <c r="N35" s="351"/>
      <c r="O35" s="351"/>
      <c r="P35" s="352"/>
      <c r="Q35" s="352"/>
      <c r="R35" s="352"/>
      <c r="S35" s="352"/>
      <c r="T35" s="352"/>
      <c r="U35" s="353"/>
      <c r="V35" s="354"/>
      <c r="W35" s="355"/>
      <c r="X35" s="354"/>
      <c r="Y35" s="355"/>
      <c r="Z35" s="356"/>
      <c r="AA35" s="353"/>
      <c r="AB35" s="354"/>
      <c r="AC35" s="355"/>
      <c r="AD35" s="354"/>
      <c r="AE35" s="355"/>
      <c r="AF35" s="354"/>
      <c r="AG35" s="355"/>
      <c r="AH35" s="354"/>
      <c r="AI35" s="355"/>
      <c r="AJ35" s="354"/>
      <c r="AK35" s="355"/>
      <c r="AL35" s="354"/>
      <c r="AM35" s="355"/>
      <c r="AN35" s="354"/>
      <c r="AO35" s="355"/>
      <c r="AP35" s="354"/>
      <c r="AQ35" s="355"/>
      <c r="AR35" s="354"/>
      <c r="AS35" s="355"/>
      <c r="AT35" s="65"/>
      <c r="AU35" s="357"/>
    </row>
    <row r="36" spans="1:47" s="345" customFormat="1" ht="30" customHeight="1" x14ac:dyDescent="0.25">
      <c r="A36" s="330">
        <v>28</v>
      </c>
      <c r="B36" s="331">
        <v>41848</v>
      </c>
      <c r="C36" s="328" t="s">
        <v>651</v>
      </c>
      <c r="D36" s="346"/>
      <c r="E36" s="347"/>
      <c r="F36" s="348"/>
      <c r="G36" s="349">
        <v>1274</v>
      </c>
      <c r="H36" s="350"/>
      <c r="I36" s="351"/>
      <c r="J36" s="351"/>
      <c r="K36" s="351"/>
      <c r="L36" s="351"/>
      <c r="M36" s="351"/>
      <c r="N36" s="351"/>
      <c r="O36" s="351"/>
      <c r="P36" s="352"/>
      <c r="Q36" s="352"/>
      <c r="R36" s="352"/>
      <c r="S36" s="352"/>
      <c r="T36" s="352"/>
      <c r="U36" s="353"/>
      <c r="V36" s="354"/>
      <c r="W36" s="355"/>
      <c r="X36" s="354"/>
      <c r="Y36" s="355"/>
      <c r="Z36" s="356">
        <v>1274</v>
      </c>
      <c r="AA36" s="353"/>
      <c r="AB36" s="354"/>
      <c r="AC36" s="355"/>
      <c r="AD36" s="354"/>
      <c r="AE36" s="355"/>
      <c r="AF36" s="354"/>
      <c r="AG36" s="355"/>
      <c r="AH36" s="354"/>
      <c r="AI36" s="355"/>
      <c r="AJ36" s="354"/>
      <c r="AK36" s="355"/>
      <c r="AL36" s="354"/>
      <c r="AM36" s="355"/>
      <c r="AN36" s="354"/>
      <c r="AO36" s="355"/>
      <c r="AP36" s="354"/>
      <c r="AQ36" s="355"/>
      <c r="AR36" s="354"/>
      <c r="AS36" s="355"/>
      <c r="AT36" s="65"/>
      <c r="AU36" s="357"/>
    </row>
    <row r="37" spans="1:47" s="345" customFormat="1" ht="30" customHeight="1" x14ac:dyDescent="0.25">
      <c r="A37" s="330">
        <v>29</v>
      </c>
      <c r="B37" s="331">
        <v>41849</v>
      </c>
      <c r="C37" s="328" t="s">
        <v>1</v>
      </c>
      <c r="D37" s="346"/>
      <c r="E37" s="347"/>
      <c r="F37" s="348">
        <v>7500</v>
      </c>
      <c r="G37" s="349"/>
      <c r="H37" s="350"/>
      <c r="I37" s="351">
        <v>7500</v>
      </c>
      <c r="J37" s="351"/>
      <c r="K37" s="351"/>
      <c r="L37" s="351"/>
      <c r="M37" s="351"/>
      <c r="N37" s="351"/>
      <c r="O37" s="351"/>
      <c r="P37" s="352"/>
      <c r="Q37" s="352"/>
      <c r="R37" s="352"/>
      <c r="S37" s="352"/>
      <c r="T37" s="352"/>
      <c r="U37" s="353"/>
      <c r="V37" s="354"/>
      <c r="W37" s="355"/>
      <c r="X37" s="354"/>
      <c r="Y37" s="355"/>
      <c r="Z37" s="356"/>
      <c r="AA37" s="353"/>
      <c r="AB37" s="354"/>
      <c r="AC37" s="355"/>
      <c r="AD37" s="354"/>
      <c r="AE37" s="355"/>
      <c r="AF37" s="354"/>
      <c r="AG37" s="355"/>
      <c r="AH37" s="354"/>
      <c r="AI37" s="355"/>
      <c r="AJ37" s="354"/>
      <c r="AK37" s="355"/>
      <c r="AL37" s="354"/>
      <c r="AM37" s="355"/>
      <c r="AN37" s="354"/>
      <c r="AO37" s="355"/>
      <c r="AP37" s="354"/>
      <c r="AQ37" s="355"/>
      <c r="AR37" s="354"/>
      <c r="AS37" s="355"/>
      <c r="AT37" s="65"/>
      <c r="AU37" s="357"/>
    </row>
    <row r="38" spans="1:47" s="345" customFormat="1" ht="30" customHeight="1" x14ac:dyDescent="0.25">
      <c r="A38" s="330">
        <v>30</v>
      </c>
      <c r="B38" s="331">
        <v>41850</v>
      </c>
      <c r="C38" s="328" t="s">
        <v>1</v>
      </c>
      <c r="D38" s="346"/>
      <c r="E38" s="347"/>
      <c r="F38" s="348">
        <v>3000</v>
      </c>
      <c r="G38" s="349"/>
      <c r="H38" s="350"/>
      <c r="I38" s="351">
        <v>3000</v>
      </c>
      <c r="J38" s="351"/>
      <c r="K38" s="351"/>
      <c r="L38" s="351"/>
      <c r="M38" s="351"/>
      <c r="N38" s="351"/>
      <c r="O38" s="351"/>
      <c r="P38" s="352"/>
      <c r="Q38" s="352"/>
      <c r="R38" s="352"/>
      <c r="S38" s="352"/>
      <c r="T38" s="352"/>
      <c r="U38" s="353"/>
      <c r="V38" s="354"/>
      <c r="W38" s="355"/>
      <c r="X38" s="354"/>
      <c r="Y38" s="355"/>
      <c r="Z38" s="356"/>
      <c r="AA38" s="353"/>
      <c r="AB38" s="354"/>
      <c r="AC38" s="355"/>
      <c r="AD38" s="354"/>
      <c r="AE38" s="355"/>
      <c r="AF38" s="354"/>
      <c r="AG38" s="355"/>
      <c r="AH38" s="354"/>
      <c r="AI38" s="355"/>
      <c r="AJ38" s="354"/>
      <c r="AK38" s="355"/>
      <c r="AL38" s="354"/>
      <c r="AM38" s="355"/>
      <c r="AN38" s="354"/>
      <c r="AO38" s="355"/>
      <c r="AP38" s="354"/>
      <c r="AQ38" s="355"/>
      <c r="AR38" s="354"/>
      <c r="AS38" s="355"/>
      <c r="AT38" s="65"/>
      <c r="AU38" s="357"/>
    </row>
    <row r="39" spans="1:47" s="345" customFormat="1" ht="30" customHeight="1" x14ac:dyDescent="0.25">
      <c r="A39" s="330">
        <v>31</v>
      </c>
      <c r="B39" s="331">
        <v>41851</v>
      </c>
      <c r="C39" s="328" t="s">
        <v>1</v>
      </c>
      <c r="D39" s="346"/>
      <c r="E39" s="347"/>
      <c r="F39" s="348">
        <v>9000</v>
      </c>
      <c r="G39" s="349"/>
      <c r="H39" s="350"/>
      <c r="I39" s="351">
        <v>9000</v>
      </c>
      <c r="J39" s="351"/>
      <c r="K39" s="351"/>
      <c r="L39" s="351"/>
      <c r="M39" s="351"/>
      <c r="N39" s="351"/>
      <c r="O39" s="351"/>
      <c r="P39" s="352"/>
      <c r="Q39" s="352"/>
      <c r="R39" s="352"/>
      <c r="S39" s="352"/>
      <c r="T39" s="352"/>
      <c r="U39" s="353"/>
      <c r="V39" s="354"/>
      <c r="W39" s="355"/>
      <c r="X39" s="354"/>
      <c r="Y39" s="355"/>
      <c r="Z39" s="356"/>
      <c r="AA39" s="353"/>
      <c r="AB39" s="354"/>
      <c r="AC39" s="355"/>
      <c r="AD39" s="354"/>
      <c r="AE39" s="355"/>
      <c r="AF39" s="354"/>
      <c r="AG39" s="355"/>
      <c r="AH39" s="354"/>
      <c r="AI39" s="355"/>
      <c r="AJ39" s="354"/>
      <c r="AK39" s="355"/>
      <c r="AL39" s="354"/>
      <c r="AM39" s="355"/>
      <c r="AN39" s="354"/>
      <c r="AO39" s="355"/>
      <c r="AP39" s="354"/>
      <c r="AQ39" s="355"/>
      <c r="AR39" s="354"/>
      <c r="AS39" s="355"/>
      <c r="AT39" s="65"/>
      <c r="AU39" s="357"/>
    </row>
    <row r="40" spans="1:47" s="345" customFormat="1" ht="30" customHeight="1" x14ac:dyDescent="0.25">
      <c r="A40" s="330">
        <v>32</v>
      </c>
      <c r="B40" s="331">
        <v>41852</v>
      </c>
      <c r="C40" s="328" t="s">
        <v>1</v>
      </c>
      <c r="D40" s="346"/>
      <c r="E40" s="347"/>
      <c r="F40" s="348">
        <v>6000</v>
      </c>
      <c r="G40" s="349"/>
      <c r="H40" s="350"/>
      <c r="I40" s="351">
        <v>6000</v>
      </c>
      <c r="J40" s="351"/>
      <c r="K40" s="351"/>
      <c r="L40" s="351"/>
      <c r="M40" s="351"/>
      <c r="N40" s="351"/>
      <c r="O40" s="351"/>
      <c r="P40" s="352"/>
      <c r="Q40" s="352"/>
      <c r="R40" s="352"/>
      <c r="S40" s="352"/>
      <c r="T40" s="352"/>
      <c r="U40" s="353"/>
      <c r="V40" s="354"/>
      <c r="W40" s="355"/>
      <c r="X40" s="354"/>
      <c r="Y40" s="355"/>
      <c r="Z40" s="356"/>
      <c r="AA40" s="353"/>
      <c r="AB40" s="354"/>
      <c r="AC40" s="355"/>
      <c r="AD40" s="354"/>
      <c r="AE40" s="355"/>
      <c r="AF40" s="354"/>
      <c r="AG40" s="355"/>
      <c r="AH40" s="354"/>
      <c r="AI40" s="355"/>
      <c r="AJ40" s="354"/>
      <c r="AK40" s="355"/>
      <c r="AL40" s="354"/>
      <c r="AM40" s="355"/>
      <c r="AN40" s="354"/>
      <c r="AO40" s="355"/>
      <c r="AP40" s="354"/>
      <c r="AQ40" s="355"/>
      <c r="AR40" s="354"/>
      <c r="AS40" s="355"/>
      <c r="AT40" s="65"/>
      <c r="AU40" s="357"/>
    </row>
    <row r="41" spans="1:47" s="345" customFormat="1" ht="30" customHeight="1" x14ac:dyDescent="0.25">
      <c r="A41" s="330">
        <v>33</v>
      </c>
      <c r="B41" s="331">
        <v>41856</v>
      </c>
      <c r="C41" s="328" t="s">
        <v>653</v>
      </c>
      <c r="D41" s="346"/>
      <c r="E41" s="347"/>
      <c r="F41" s="348"/>
      <c r="G41" s="349">
        <v>1.5</v>
      </c>
      <c r="H41" s="350"/>
      <c r="I41" s="351"/>
      <c r="J41" s="351"/>
      <c r="K41" s="351"/>
      <c r="L41" s="351"/>
      <c r="M41" s="351"/>
      <c r="N41" s="351"/>
      <c r="O41" s="351"/>
      <c r="P41" s="352"/>
      <c r="Q41" s="352"/>
      <c r="R41" s="352"/>
      <c r="S41" s="352"/>
      <c r="T41" s="352"/>
      <c r="U41" s="353"/>
      <c r="V41" s="354"/>
      <c r="W41" s="355"/>
      <c r="X41" s="354"/>
      <c r="Y41" s="355"/>
      <c r="Z41" s="356"/>
      <c r="AA41" s="353"/>
      <c r="AB41" s="354"/>
      <c r="AC41" s="355"/>
      <c r="AD41" s="354"/>
      <c r="AE41" s="355"/>
      <c r="AF41" s="354"/>
      <c r="AG41" s="355"/>
      <c r="AH41" s="354"/>
      <c r="AI41" s="355"/>
      <c r="AJ41" s="354"/>
      <c r="AK41" s="355"/>
      <c r="AL41" s="354"/>
      <c r="AM41" s="355"/>
      <c r="AN41" s="354"/>
      <c r="AO41" s="355"/>
      <c r="AP41" s="354">
        <v>1.5</v>
      </c>
      <c r="AQ41" s="355"/>
      <c r="AR41" s="354"/>
      <c r="AS41" s="355"/>
      <c r="AT41" s="65"/>
      <c r="AU41" s="357"/>
    </row>
    <row r="42" spans="1:47" s="345" customFormat="1" ht="30" customHeight="1" x14ac:dyDescent="0.25">
      <c r="A42" s="330">
        <v>34</v>
      </c>
      <c r="B42" s="331">
        <v>41858</v>
      </c>
      <c r="C42" s="328" t="s">
        <v>528</v>
      </c>
      <c r="D42" s="346"/>
      <c r="E42" s="347"/>
      <c r="F42" s="348">
        <v>1500</v>
      </c>
      <c r="G42" s="349"/>
      <c r="H42" s="350"/>
      <c r="I42" s="351">
        <v>1500</v>
      </c>
      <c r="J42" s="351"/>
      <c r="K42" s="351"/>
      <c r="L42" s="351"/>
      <c r="M42" s="351"/>
      <c r="N42" s="351"/>
      <c r="O42" s="351"/>
      <c r="P42" s="352"/>
      <c r="Q42" s="352"/>
      <c r="R42" s="352"/>
      <c r="S42" s="352"/>
      <c r="T42" s="352"/>
      <c r="U42" s="353"/>
      <c r="V42" s="354"/>
      <c r="W42" s="355"/>
      <c r="X42" s="354"/>
      <c r="Y42" s="355"/>
      <c r="Z42" s="356"/>
      <c r="AA42" s="353"/>
      <c r="AB42" s="354"/>
      <c r="AC42" s="355"/>
      <c r="AD42" s="354"/>
      <c r="AE42" s="355"/>
      <c r="AF42" s="354"/>
      <c r="AG42" s="355"/>
      <c r="AH42" s="354"/>
      <c r="AI42" s="355"/>
      <c r="AJ42" s="354"/>
      <c r="AK42" s="355"/>
      <c r="AL42" s="354"/>
      <c r="AM42" s="355"/>
      <c r="AN42" s="354"/>
      <c r="AO42" s="355"/>
      <c r="AP42" s="354"/>
      <c r="AQ42" s="355"/>
      <c r="AR42" s="354"/>
      <c r="AS42" s="355"/>
      <c r="AT42" s="65"/>
      <c r="AU42" s="357"/>
    </row>
    <row r="43" spans="1:47" s="345" customFormat="1" ht="30" customHeight="1" x14ac:dyDescent="0.25">
      <c r="A43" s="330">
        <v>35</v>
      </c>
      <c r="B43" s="331">
        <v>41859</v>
      </c>
      <c r="C43" s="328" t="s">
        <v>528</v>
      </c>
      <c r="D43" s="346"/>
      <c r="E43" s="347"/>
      <c r="F43" s="348">
        <v>1500</v>
      </c>
      <c r="G43" s="349"/>
      <c r="H43" s="350"/>
      <c r="I43" s="351">
        <v>1500</v>
      </c>
      <c r="J43" s="351"/>
      <c r="K43" s="351"/>
      <c r="L43" s="351"/>
      <c r="M43" s="351"/>
      <c r="N43" s="351"/>
      <c r="O43" s="351"/>
      <c r="P43" s="352"/>
      <c r="Q43" s="352"/>
      <c r="R43" s="352"/>
      <c r="S43" s="352"/>
      <c r="T43" s="352"/>
      <c r="U43" s="353"/>
      <c r="V43" s="354"/>
      <c r="W43" s="355"/>
      <c r="X43" s="354"/>
      <c r="Y43" s="355"/>
      <c r="Z43" s="356"/>
      <c r="AA43" s="353"/>
      <c r="AB43" s="354"/>
      <c r="AC43" s="355"/>
      <c r="AD43" s="354"/>
      <c r="AE43" s="355"/>
      <c r="AF43" s="354"/>
      <c r="AG43" s="355"/>
      <c r="AH43" s="354"/>
      <c r="AI43" s="355"/>
      <c r="AJ43" s="354"/>
      <c r="AK43" s="355"/>
      <c r="AL43" s="354"/>
      <c r="AM43" s="355"/>
      <c r="AN43" s="354"/>
      <c r="AO43" s="355"/>
      <c r="AP43" s="354"/>
      <c r="AQ43" s="355"/>
      <c r="AR43" s="354"/>
      <c r="AS43" s="355"/>
      <c r="AT43" s="65"/>
      <c r="AU43" s="357"/>
    </row>
    <row r="44" spans="1:47" s="345" customFormat="1" ht="30" customHeight="1" x14ac:dyDescent="0.25">
      <c r="A44" s="330">
        <v>36</v>
      </c>
      <c r="B44" s="331">
        <v>41863</v>
      </c>
      <c r="C44" s="328" t="s">
        <v>655</v>
      </c>
      <c r="D44" s="346"/>
      <c r="E44" s="347"/>
      <c r="F44" s="348"/>
      <c r="G44" s="349">
        <v>13956</v>
      </c>
      <c r="H44" s="350"/>
      <c r="I44" s="351"/>
      <c r="J44" s="351"/>
      <c r="K44" s="351"/>
      <c r="L44" s="351"/>
      <c r="M44" s="351"/>
      <c r="N44" s="351"/>
      <c r="O44" s="351"/>
      <c r="P44" s="352"/>
      <c r="Q44" s="352"/>
      <c r="R44" s="352"/>
      <c r="S44" s="352"/>
      <c r="T44" s="352"/>
      <c r="U44" s="353"/>
      <c r="V44" s="354"/>
      <c r="W44" s="355"/>
      <c r="X44" s="354"/>
      <c r="Y44" s="355"/>
      <c r="Z44" s="356"/>
      <c r="AA44" s="353"/>
      <c r="AB44" s="354"/>
      <c r="AC44" s="355"/>
      <c r="AD44" s="354">
        <v>13956</v>
      </c>
      <c r="AE44" s="355"/>
      <c r="AF44" s="354"/>
      <c r="AG44" s="355"/>
      <c r="AH44" s="354"/>
      <c r="AI44" s="355"/>
      <c r="AJ44" s="354"/>
      <c r="AK44" s="355"/>
      <c r="AL44" s="354"/>
      <c r="AM44" s="355"/>
      <c r="AN44" s="354"/>
      <c r="AO44" s="355"/>
      <c r="AP44" s="354"/>
      <c r="AQ44" s="355"/>
      <c r="AR44" s="354"/>
      <c r="AS44" s="355"/>
      <c r="AT44" s="65"/>
      <c r="AU44" s="357"/>
    </row>
    <row r="45" spans="1:47" s="345" customFormat="1" ht="30" customHeight="1" x14ac:dyDescent="0.25">
      <c r="A45" s="330">
        <v>37</v>
      </c>
      <c r="B45" s="331">
        <v>41866</v>
      </c>
      <c r="C45" s="328" t="s">
        <v>528</v>
      </c>
      <c r="D45" s="346"/>
      <c r="E45" s="347"/>
      <c r="F45" s="348">
        <v>1500</v>
      </c>
      <c r="G45" s="349"/>
      <c r="H45" s="350"/>
      <c r="I45" s="351">
        <v>1500</v>
      </c>
      <c r="J45" s="351"/>
      <c r="K45" s="351"/>
      <c r="L45" s="351"/>
      <c r="M45" s="351"/>
      <c r="N45" s="351"/>
      <c r="O45" s="351"/>
      <c r="P45" s="352"/>
      <c r="Q45" s="352"/>
      <c r="R45" s="352"/>
      <c r="S45" s="352"/>
      <c r="T45" s="352"/>
      <c r="U45" s="353"/>
      <c r="V45" s="354"/>
      <c r="W45" s="355"/>
      <c r="X45" s="354"/>
      <c r="Y45" s="355"/>
      <c r="Z45" s="356"/>
      <c r="AA45" s="353"/>
      <c r="AB45" s="354"/>
      <c r="AC45" s="355"/>
      <c r="AD45" s="354"/>
      <c r="AE45" s="355"/>
      <c r="AF45" s="354"/>
      <c r="AG45" s="355"/>
      <c r="AH45" s="354"/>
      <c r="AI45" s="355"/>
      <c r="AJ45" s="354"/>
      <c r="AK45" s="355"/>
      <c r="AL45" s="354"/>
      <c r="AM45" s="355"/>
      <c r="AN45" s="354"/>
      <c r="AO45" s="355"/>
      <c r="AP45" s="354"/>
      <c r="AQ45" s="355"/>
      <c r="AR45" s="354"/>
      <c r="AS45" s="355"/>
      <c r="AT45" s="65"/>
      <c r="AU45" s="357"/>
    </row>
    <row r="46" spans="1:47" s="345" customFormat="1" ht="30" customHeight="1" x14ac:dyDescent="0.25">
      <c r="A46" s="330">
        <v>38</v>
      </c>
      <c r="B46" s="331">
        <v>41870</v>
      </c>
      <c r="C46" s="328" t="s">
        <v>528</v>
      </c>
      <c r="D46" s="346"/>
      <c r="E46" s="347"/>
      <c r="F46" s="348">
        <v>1500</v>
      </c>
      <c r="G46" s="349"/>
      <c r="H46" s="350"/>
      <c r="I46" s="351">
        <v>1500</v>
      </c>
      <c r="J46" s="351"/>
      <c r="K46" s="351"/>
      <c r="L46" s="351"/>
      <c r="M46" s="351"/>
      <c r="N46" s="351"/>
      <c r="O46" s="351"/>
      <c r="P46" s="352"/>
      <c r="Q46" s="352"/>
      <c r="R46" s="352"/>
      <c r="S46" s="352"/>
      <c r="T46" s="352"/>
      <c r="U46" s="353"/>
      <c r="V46" s="354"/>
      <c r="W46" s="355"/>
      <c r="X46" s="354"/>
      <c r="Y46" s="355"/>
      <c r="Z46" s="356"/>
      <c r="AA46" s="353"/>
      <c r="AB46" s="354"/>
      <c r="AC46" s="355"/>
      <c r="AD46" s="354"/>
      <c r="AE46" s="355"/>
      <c r="AF46" s="354"/>
      <c r="AG46" s="355"/>
      <c r="AH46" s="354"/>
      <c r="AI46" s="355"/>
      <c r="AJ46" s="354"/>
      <c r="AK46" s="355"/>
      <c r="AL46" s="354"/>
      <c r="AM46" s="355"/>
      <c r="AN46" s="354"/>
      <c r="AO46" s="355"/>
      <c r="AP46" s="354"/>
      <c r="AQ46" s="355"/>
      <c r="AR46" s="354"/>
      <c r="AS46" s="355"/>
      <c r="AT46" s="65"/>
      <c r="AU46" s="357"/>
    </row>
    <row r="47" spans="1:47" s="345" customFormat="1" ht="30" customHeight="1" x14ac:dyDescent="0.25">
      <c r="A47" s="330">
        <v>39</v>
      </c>
      <c r="B47" s="331">
        <v>41873</v>
      </c>
      <c r="C47" s="328" t="s">
        <v>1</v>
      </c>
      <c r="D47" s="346"/>
      <c r="E47" s="347"/>
      <c r="F47" s="348">
        <v>3000</v>
      </c>
      <c r="G47" s="349"/>
      <c r="H47" s="350"/>
      <c r="I47" s="351">
        <v>3000</v>
      </c>
      <c r="J47" s="351"/>
      <c r="K47" s="351"/>
      <c r="L47" s="351"/>
      <c r="M47" s="351"/>
      <c r="N47" s="351"/>
      <c r="O47" s="351"/>
      <c r="P47" s="352"/>
      <c r="Q47" s="352"/>
      <c r="R47" s="352"/>
      <c r="S47" s="352"/>
      <c r="T47" s="352"/>
      <c r="U47" s="353"/>
      <c r="V47" s="354"/>
      <c r="W47" s="355"/>
      <c r="X47" s="354"/>
      <c r="Y47" s="355"/>
      <c r="Z47" s="356"/>
      <c r="AA47" s="353"/>
      <c r="AB47" s="354"/>
      <c r="AC47" s="355"/>
      <c r="AD47" s="354"/>
      <c r="AE47" s="355"/>
      <c r="AF47" s="354"/>
      <c r="AG47" s="355"/>
      <c r="AH47" s="354"/>
      <c r="AI47" s="355"/>
      <c r="AJ47" s="354"/>
      <c r="AK47" s="355"/>
      <c r="AL47" s="354"/>
      <c r="AM47" s="355"/>
      <c r="AN47" s="354"/>
      <c r="AO47" s="355"/>
      <c r="AP47" s="354"/>
      <c r="AQ47" s="355"/>
      <c r="AR47" s="354"/>
      <c r="AS47" s="355"/>
      <c r="AT47" s="65"/>
      <c r="AU47" s="357"/>
    </row>
    <row r="48" spans="1:47" s="345" customFormat="1" ht="30" customHeight="1" x14ac:dyDescent="0.25">
      <c r="A48" s="330">
        <v>40</v>
      </c>
      <c r="B48" s="331">
        <v>41876</v>
      </c>
      <c r="C48" s="328" t="s">
        <v>1</v>
      </c>
      <c r="D48" s="346"/>
      <c r="E48" s="347"/>
      <c r="F48" s="348">
        <v>6000</v>
      </c>
      <c r="G48" s="349"/>
      <c r="H48" s="350"/>
      <c r="I48" s="351">
        <v>6000</v>
      </c>
      <c r="J48" s="351"/>
      <c r="K48" s="351"/>
      <c r="L48" s="351"/>
      <c r="M48" s="351"/>
      <c r="N48" s="351"/>
      <c r="O48" s="351"/>
      <c r="P48" s="352"/>
      <c r="Q48" s="352"/>
      <c r="R48" s="352"/>
      <c r="S48" s="352"/>
      <c r="T48" s="352"/>
      <c r="U48" s="353"/>
      <c r="V48" s="354"/>
      <c r="W48" s="355"/>
      <c r="X48" s="354"/>
      <c r="Y48" s="355"/>
      <c r="Z48" s="356"/>
      <c r="AA48" s="353"/>
      <c r="AB48" s="354"/>
      <c r="AC48" s="355"/>
      <c r="AD48" s="354"/>
      <c r="AE48" s="355"/>
      <c r="AF48" s="354"/>
      <c r="AG48" s="355"/>
      <c r="AH48" s="354"/>
      <c r="AI48" s="355"/>
      <c r="AJ48" s="354"/>
      <c r="AK48" s="355"/>
      <c r="AL48" s="354"/>
      <c r="AM48" s="355"/>
      <c r="AN48" s="354"/>
      <c r="AO48" s="355"/>
      <c r="AP48" s="354"/>
      <c r="AQ48" s="355"/>
      <c r="AR48" s="354"/>
      <c r="AS48" s="355"/>
      <c r="AT48" s="65"/>
      <c r="AU48" s="357"/>
    </row>
    <row r="49" spans="1:47" s="345" customFormat="1" ht="30" customHeight="1" x14ac:dyDescent="0.25">
      <c r="A49" s="330">
        <v>41</v>
      </c>
      <c r="B49" s="331">
        <v>41877</v>
      </c>
      <c r="C49" s="328" t="s">
        <v>1</v>
      </c>
      <c r="D49" s="346"/>
      <c r="E49" s="347"/>
      <c r="F49" s="348">
        <v>10500</v>
      </c>
      <c r="G49" s="349"/>
      <c r="H49" s="350"/>
      <c r="I49" s="351">
        <v>10500</v>
      </c>
      <c r="J49" s="351"/>
      <c r="K49" s="351"/>
      <c r="L49" s="351"/>
      <c r="M49" s="351"/>
      <c r="N49" s="351"/>
      <c r="O49" s="351"/>
      <c r="P49" s="352"/>
      <c r="Q49" s="352"/>
      <c r="R49" s="352"/>
      <c r="S49" s="352"/>
      <c r="T49" s="352"/>
      <c r="U49" s="353"/>
      <c r="V49" s="354"/>
      <c r="W49" s="355"/>
      <c r="X49" s="354"/>
      <c r="Y49" s="355"/>
      <c r="Z49" s="356"/>
      <c r="AA49" s="353"/>
      <c r="AB49" s="354"/>
      <c r="AC49" s="355"/>
      <c r="AD49" s="354"/>
      <c r="AE49" s="355"/>
      <c r="AF49" s="354"/>
      <c r="AG49" s="355"/>
      <c r="AH49" s="354"/>
      <c r="AI49" s="355"/>
      <c r="AJ49" s="354"/>
      <c r="AK49" s="355"/>
      <c r="AL49" s="354"/>
      <c r="AM49" s="355"/>
      <c r="AN49" s="354"/>
      <c r="AO49" s="355"/>
      <c r="AP49" s="354"/>
      <c r="AQ49" s="355"/>
      <c r="AR49" s="354"/>
      <c r="AS49" s="355"/>
      <c r="AT49" s="65"/>
      <c r="AU49" s="357"/>
    </row>
    <row r="50" spans="1:47" s="345" customFormat="1" ht="30" customHeight="1" x14ac:dyDescent="0.25">
      <c r="A50" s="330">
        <v>42</v>
      </c>
      <c r="B50" s="331">
        <v>41878</v>
      </c>
      <c r="C50" s="328" t="s">
        <v>1</v>
      </c>
      <c r="D50" s="346"/>
      <c r="E50" s="347"/>
      <c r="F50" s="348">
        <v>10500</v>
      </c>
      <c r="G50" s="349"/>
      <c r="H50" s="350"/>
      <c r="I50" s="351">
        <v>10500</v>
      </c>
      <c r="J50" s="351"/>
      <c r="K50" s="351"/>
      <c r="L50" s="351"/>
      <c r="M50" s="351"/>
      <c r="N50" s="351"/>
      <c r="O50" s="351"/>
      <c r="P50" s="352"/>
      <c r="Q50" s="352"/>
      <c r="R50" s="352"/>
      <c r="S50" s="352"/>
      <c r="T50" s="352"/>
      <c r="U50" s="353"/>
      <c r="V50" s="354"/>
      <c r="W50" s="355"/>
      <c r="X50" s="354"/>
      <c r="Y50" s="355"/>
      <c r="Z50" s="356"/>
      <c r="AA50" s="353"/>
      <c r="AB50" s="354"/>
      <c r="AC50" s="355"/>
      <c r="AD50" s="354"/>
      <c r="AE50" s="355"/>
      <c r="AF50" s="354"/>
      <c r="AG50" s="355"/>
      <c r="AH50" s="354"/>
      <c r="AI50" s="355"/>
      <c r="AJ50" s="354"/>
      <c r="AK50" s="355"/>
      <c r="AL50" s="354"/>
      <c r="AM50" s="355"/>
      <c r="AN50" s="354"/>
      <c r="AO50" s="355"/>
      <c r="AP50" s="354"/>
      <c r="AQ50" s="355"/>
      <c r="AR50" s="354"/>
      <c r="AS50" s="355"/>
      <c r="AT50" s="65"/>
      <c r="AU50" s="357"/>
    </row>
    <row r="51" spans="1:47" s="345" customFormat="1" ht="30" customHeight="1" x14ac:dyDescent="0.25">
      <c r="A51" s="330">
        <v>43</v>
      </c>
      <c r="B51" s="331">
        <v>41878</v>
      </c>
      <c r="C51" s="328" t="s">
        <v>659</v>
      </c>
      <c r="D51" s="346"/>
      <c r="E51" s="347"/>
      <c r="F51" s="348"/>
      <c r="G51" s="349">
        <v>1625</v>
      </c>
      <c r="H51" s="350"/>
      <c r="I51" s="351"/>
      <c r="J51" s="351"/>
      <c r="K51" s="351"/>
      <c r="L51" s="351"/>
      <c r="M51" s="351"/>
      <c r="N51" s="351"/>
      <c r="O51" s="351"/>
      <c r="P51" s="352"/>
      <c r="Q51" s="352"/>
      <c r="R51" s="352"/>
      <c r="S51" s="352"/>
      <c r="T51" s="352"/>
      <c r="U51" s="353"/>
      <c r="V51" s="354"/>
      <c r="W51" s="355"/>
      <c r="X51" s="354"/>
      <c r="Y51" s="355"/>
      <c r="Z51" s="356"/>
      <c r="AA51" s="353"/>
      <c r="AB51" s="354"/>
      <c r="AC51" s="355"/>
      <c r="AD51" s="354"/>
      <c r="AE51" s="355"/>
      <c r="AF51" s="354"/>
      <c r="AG51" s="355"/>
      <c r="AH51" s="354"/>
      <c r="AI51" s="355"/>
      <c r="AJ51" s="354"/>
      <c r="AK51" s="355"/>
      <c r="AL51" s="354"/>
      <c r="AM51" s="355"/>
      <c r="AN51" s="354"/>
      <c r="AO51" s="355"/>
      <c r="AP51" s="354"/>
      <c r="AQ51" s="355"/>
      <c r="AR51" s="354">
        <v>1625</v>
      </c>
      <c r="AS51" s="355"/>
      <c r="AT51" s="65"/>
      <c r="AU51" s="357"/>
    </row>
    <row r="52" spans="1:47" s="345" customFormat="1" ht="30" customHeight="1" x14ac:dyDescent="0.25">
      <c r="A52" s="330">
        <v>44</v>
      </c>
      <c r="B52" s="331">
        <v>41879</v>
      </c>
      <c r="C52" s="328" t="s">
        <v>661</v>
      </c>
      <c r="D52" s="346"/>
      <c r="E52" s="347"/>
      <c r="F52" s="348"/>
      <c r="G52" s="349">
        <v>686.5</v>
      </c>
      <c r="H52" s="350"/>
      <c r="I52" s="351"/>
      <c r="J52" s="351"/>
      <c r="K52" s="351"/>
      <c r="L52" s="351"/>
      <c r="M52" s="351"/>
      <c r="N52" s="351"/>
      <c r="O52" s="351"/>
      <c r="P52" s="352"/>
      <c r="Q52" s="352"/>
      <c r="R52" s="352"/>
      <c r="S52" s="352"/>
      <c r="T52" s="352"/>
      <c r="U52" s="353"/>
      <c r="V52" s="354"/>
      <c r="W52" s="355"/>
      <c r="X52" s="354">
        <v>686.5</v>
      </c>
      <c r="Y52" s="355"/>
      <c r="Z52" s="356"/>
      <c r="AA52" s="353"/>
      <c r="AB52" s="354"/>
      <c r="AC52" s="355"/>
      <c r="AD52" s="354"/>
      <c r="AE52" s="355"/>
      <c r="AF52" s="354"/>
      <c r="AG52" s="355"/>
      <c r="AH52" s="354"/>
      <c r="AI52" s="355"/>
      <c r="AJ52" s="354"/>
      <c r="AK52" s="355"/>
      <c r="AL52" s="354"/>
      <c r="AM52" s="355"/>
      <c r="AN52" s="354"/>
      <c r="AO52" s="355"/>
      <c r="AP52" s="354"/>
      <c r="AQ52" s="355"/>
      <c r="AR52" s="354"/>
      <c r="AS52" s="355"/>
      <c r="AT52" s="65"/>
      <c r="AU52" s="357"/>
    </row>
    <row r="53" spans="1:47" s="345" customFormat="1" ht="30" customHeight="1" x14ac:dyDescent="0.25">
      <c r="A53" s="330">
        <v>45</v>
      </c>
      <c r="B53" s="331">
        <v>41879</v>
      </c>
      <c r="C53" s="328" t="s">
        <v>1</v>
      </c>
      <c r="D53" s="346"/>
      <c r="E53" s="347"/>
      <c r="F53" s="348">
        <v>7500</v>
      </c>
      <c r="G53" s="358"/>
      <c r="H53" s="350"/>
      <c r="I53" s="351">
        <v>7500</v>
      </c>
      <c r="J53" s="351"/>
      <c r="K53" s="351"/>
      <c r="L53" s="351"/>
      <c r="M53" s="351"/>
      <c r="N53" s="351"/>
      <c r="O53" s="351"/>
      <c r="P53" s="352"/>
      <c r="Q53" s="352"/>
      <c r="R53" s="352"/>
      <c r="S53" s="352"/>
      <c r="T53" s="352"/>
      <c r="U53" s="353"/>
      <c r="V53" s="354"/>
      <c r="W53" s="355"/>
      <c r="X53" s="354"/>
      <c r="Y53" s="355"/>
      <c r="Z53" s="356"/>
      <c r="AA53" s="353"/>
      <c r="AB53" s="354"/>
      <c r="AC53" s="355"/>
      <c r="AD53" s="354"/>
      <c r="AE53" s="355"/>
      <c r="AF53" s="354"/>
      <c r="AG53" s="355"/>
      <c r="AH53" s="354"/>
      <c r="AI53" s="355"/>
      <c r="AJ53" s="354"/>
      <c r="AK53" s="355"/>
      <c r="AL53" s="354"/>
      <c r="AM53" s="355"/>
      <c r="AN53" s="354"/>
      <c r="AO53" s="355"/>
      <c r="AP53" s="354"/>
      <c r="AQ53" s="355"/>
      <c r="AR53" s="354"/>
      <c r="AS53" s="355"/>
      <c r="AT53" s="65"/>
      <c r="AU53" s="357"/>
    </row>
    <row r="54" spans="1:47" s="345" customFormat="1" ht="30" customHeight="1" x14ac:dyDescent="0.25">
      <c r="A54" s="330">
        <v>46</v>
      </c>
      <c r="B54" s="331">
        <v>41880</v>
      </c>
      <c r="C54" s="328" t="s">
        <v>1</v>
      </c>
      <c r="D54" s="346"/>
      <c r="E54" s="347"/>
      <c r="F54" s="348">
        <v>45250</v>
      </c>
      <c r="G54" s="358"/>
      <c r="H54" s="350"/>
      <c r="I54" s="351">
        <v>45250</v>
      </c>
      <c r="J54" s="351"/>
      <c r="K54" s="351"/>
      <c r="L54" s="351"/>
      <c r="M54" s="351"/>
      <c r="N54" s="351"/>
      <c r="O54" s="351"/>
      <c r="P54" s="352"/>
      <c r="Q54" s="352"/>
      <c r="R54" s="352"/>
      <c r="S54" s="352"/>
      <c r="T54" s="352"/>
      <c r="U54" s="353"/>
      <c r="V54" s="354"/>
      <c r="W54" s="355"/>
      <c r="X54" s="354"/>
      <c r="Y54" s="355"/>
      <c r="Z54" s="356"/>
      <c r="AA54" s="353"/>
      <c r="AB54" s="354"/>
      <c r="AC54" s="355"/>
      <c r="AD54" s="354"/>
      <c r="AE54" s="355"/>
      <c r="AF54" s="354"/>
      <c r="AG54" s="355"/>
      <c r="AH54" s="354"/>
      <c r="AI54" s="355"/>
      <c r="AJ54" s="354"/>
      <c r="AK54" s="355"/>
      <c r="AL54" s="354"/>
      <c r="AM54" s="355"/>
      <c r="AN54" s="354"/>
      <c r="AO54" s="355"/>
      <c r="AP54" s="354"/>
      <c r="AQ54" s="355"/>
      <c r="AR54" s="354"/>
      <c r="AS54" s="355"/>
      <c r="AT54" s="65"/>
      <c r="AU54" s="357"/>
    </row>
    <row r="55" spans="1:47" s="345" customFormat="1" ht="30" customHeight="1" x14ac:dyDescent="0.25">
      <c r="A55" s="330">
        <v>47</v>
      </c>
      <c r="B55" s="331">
        <v>41883</v>
      </c>
      <c r="C55" s="328" t="s">
        <v>671</v>
      </c>
      <c r="D55" s="346"/>
      <c r="E55" s="347"/>
      <c r="F55" s="348"/>
      <c r="G55" s="358">
        <v>1219.8</v>
      </c>
      <c r="H55" s="350"/>
      <c r="I55" s="351"/>
      <c r="J55" s="351"/>
      <c r="K55" s="351"/>
      <c r="L55" s="351"/>
      <c r="M55" s="351"/>
      <c r="N55" s="351"/>
      <c r="O55" s="351"/>
      <c r="P55" s="352"/>
      <c r="Q55" s="352"/>
      <c r="R55" s="352"/>
      <c r="S55" s="352"/>
      <c r="T55" s="352"/>
      <c r="U55" s="353"/>
      <c r="V55" s="354"/>
      <c r="W55" s="355"/>
      <c r="X55" s="354"/>
      <c r="Y55" s="355"/>
      <c r="Z55" s="356"/>
      <c r="AA55" s="353"/>
      <c r="AB55" s="354"/>
      <c r="AC55" s="355"/>
      <c r="AD55" s="354"/>
      <c r="AE55" s="355"/>
      <c r="AF55" s="354"/>
      <c r="AG55" s="355"/>
      <c r="AH55" s="354"/>
      <c r="AI55" s="355"/>
      <c r="AJ55" s="354"/>
      <c r="AK55" s="355"/>
      <c r="AL55" s="354"/>
      <c r="AM55" s="355"/>
      <c r="AN55" s="354">
        <v>1219.8</v>
      </c>
      <c r="AO55" s="355"/>
      <c r="AP55" s="354"/>
      <c r="AQ55" s="355"/>
      <c r="AR55" s="354"/>
      <c r="AS55" s="355"/>
      <c r="AT55" s="65"/>
      <c r="AU55" s="357"/>
    </row>
    <row r="56" spans="1:47" s="345" customFormat="1" ht="30" customHeight="1" x14ac:dyDescent="0.25">
      <c r="A56" s="330">
        <v>48</v>
      </c>
      <c r="B56" s="331">
        <v>41883</v>
      </c>
      <c r="C56" s="328" t="s">
        <v>672</v>
      </c>
      <c r="D56" s="346"/>
      <c r="E56" s="347"/>
      <c r="F56" s="348"/>
      <c r="G56" s="358">
        <v>5138</v>
      </c>
      <c r="H56" s="350"/>
      <c r="I56" s="351"/>
      <c r="J56" s="351"/>
      <c r="K56" s="351"/>
      <c r="L56" s="351"/>
      <c r="M56" s="351"/>
      <c r="N56" s="351"/>
      <c r="O56" s="351"/>
      <c r="P56" s="352"/>
      <c r="Q56" s="352"/>
      <c r="R56" s="352"/>
      <c r="S56" s="352"/>
      <c r="T56" s="352"/>
      <c r="U56" s="353"/>
      <c r="V56" s="354"/>
      <c r="W56" s="355"/>
      <c r="X56" s="354">
        <v>5138</v>
      </c>
      <c r="Y56" s="355"/>
      <c r="Z56" s="356"/>
      <c r="AA56" s="353"/>
      <c r="AB56" s="354"/>
      <c r="AC56" s="355"/>
      <c r="AD56" s="354"/>
      <c r="AE56" s="355"/>
      <c r="AF56" s="354"/>
      <c r="AG56" s="355"/>
      <c r="AH56" s="354"/>
      <c r="AI56" s="355"/>
      <c r="AJ56" s="354"/>
      <c r="AK56" s="355"/>
      <c r="AL56" s="354"/>
      <c r="AM56" s="355"/>
      <c r="AN56" s="354"/>
      <c r="AO56" s="355"/>
      <c r="AP56" s="354"/>
      <c r="AQ56" s="355"/>
      <c r="AR56" s="354"/>
      <c r="AS56" s="355"/>
      <c r="AT56" s="65"/>
      <c r="AU56" s="357"/>
    </row>
    <row r="57" spans="1:47" s="345" customFormat="1" ht="30" customHeight="1" x14ac:dyDescent="0.25">
      <c r="A57" s="330">
        <v>49</v>
      </c>
      <c r="B57" s="331">
        <v>41883</v>
      </c>
      <c r="C57" s="328" t="s">
        <v>1</v>
      </c>
      <c r="D57" s="346"/>
      <c r="E57" s="347"/>
      <c r="F57" s="348">
        <v>6000</v>
      </c>
      <c r="G57" s="358"/>
      <c r="H57" s="350"/>
      <c r="I57" s="351">
        <v>6000</v>
      </c>
      <c r="J57" s="351"/>
      <c r="K57" s="351"/>
      <c r="L57" s="351"/>
      <c r="M57" s="351"/>
      <c r="N57" s="351"/>
      <c r="O57" s="351"/>
      <c r="P57" s="352"/>
      <c r="Q57" s="352"/>
      <c r="R57" s="352"/>
      <c r="S57" s="352"/>
      <c r="T57" s="352"/>
      <c r="U57" s="353"/>
      <c r="V57" s="354"/>
      <c r="W57" s="355"/>
      <c r="X57" s="354"/>
      <c r="Y57" s="355"/>
      <c r="Z57" s="356"/>
      <c r="AA57" s="353"/>
      <c r="AB57" s="354"/>
      <c r="AC57" s="355"/>
      <c r="AD57" s="354"/>
      <c r="AE57" s="355"/>
      <c r="AF57" s="354"/>
      <c r="AG57" s="355"/>
      <c r="AH57" s="354"/>
      <c r="AI57" s="355"/>
      <c r="AJ57" s="354"/>
      <c r="AK57" s="355"/>
      <c r="AL57" s="354"/>
      <c r="AM57" s="355"/>
      <c r="AN57" s="354"/>
      <c r="AO57" s="355"/>
      <c r="AP57" s="354"/>
      <c r="AQ57" s="355"/>
      <c r="AR57" s="354"/>
      <c r="AS57" s="355"/>
      <c r="AT57" s="65"/>
      <c r="AU57" s="357"/>
    </row>
    <row r="58" spans="1:47" s="345" customFormat="1" ht="30" customHeight="1" x14ac:dyDescent="0.25">
      <c r="A58" s="330">
        <v>50</v>
      </c>
      <c r="B58" s="331">
        <v>41884</v>
      </c>
      <c r="C58" s="328" t="s">
        <v>528</v>
      </c>
      <c r="D58" s="346"/>
      <c r="E58" s="347"/>
      <c r="F58" s="348">
        <v>1500</v>
      </c>
      <c r="G58" s="358"/>
      <c r="H58" s="350"/>
      <c r="I58" s="351">
        <v>1500</v>
      </c>
      <c r="J58" s="351"/>
      <c r="K58" s="351"/>
      <c r="L58" s="351"/>
      <c r="M58" s="351"/>
      <c r="N58" s="351"/>
      <c r="O58" s="351"/>
      <c r="P58" s="352"/>
      <c r="Q58" s="352"/>
      <c r="R58" s="352"/>
      <c r="S58" s="352"/>
      <c r="T58" s="352"/>
      <c r="U58" s="353"/>
      <c r="V58" s="354"/>
      <c r="W58" s="355"/>
      <c r="X58" s="354"/>
      <c r="Y58" s="355"/>
      <c r="Z58" s="356"/>
      <c r="AA58" s="353"/>
      <c r="AB58" s="354"/>
      <c r="AC58" s="355"/>
      <c r="AD58" s="354"/>
      <c r="AE58" s="355"/>
      <c r="AF58" s="354"/>
      <c r="AG58" s="355"/>
      <c r="AH58" s="354"/>
      <c r="AI58" s="355"/>
      <c r="AJ58" s="354"/>
      <c r="AK58" s="355"/>
      <c r="AL58" s="354"/>
      <c r="AM58" s="355"/>
      <c r="AN58" s="354"/>
      <c r="AO58" s="355"/>
      <c r="AP58" s="354"/>
      <c r="AQ58" s="355"/>
      <c r="AR58" s="354"/>
      <c r="AS58" s="355"/>
      <c r="AT58" s="65"/>
      <c r="AU58" s="357"/>
    </row>
    <row r="59" spans="1:47" s="345" customFormat="1" ht="30" customHeight="1" x14ac:dyDescent="0.25">
      <c r="A59" s="330">
        <v>51</v>
      </c>
      <c r="B59" s="331">
        <v>41885</v>
      </c>
      <c r="C59" s="328" t="s">
        <v>673</v>
      </c>
      <c r="D59" s="346"/>
      <c r="E59" s="347"/>
      <c r="F59" s="359"/>
      <c r="G59" s="349">
        <v>3</v>
      </c>
      <c r="H59" s="350"/>
      <c r="I59" s="351"/>
      <c r="J59" s="351"/>
      <c r="K59" s="351"/>
      <c r="L59" s="351"/>
      <c r="M59" s="351"/>
      <c r="N59" s="351"/>
      <c r="O59" s="351"/>
      <c r="P59" s="352"/>
      <c r="Q59" s="352"/>
      <c r="R59" s="352"/>
      <c r="S59" s="352"/>
      <c r="T59" s="352"/>
      <c r="U59" s="353"/>
      <c r="V59" s="354"/>
      <c r="W59" s="355"/>
      <c r="X59" s="354"/>
      <c r="Y59" s="355"/>
      <c r="Z59" s="356"/>
      <c r="AA59" s="353"/>
      <c r="AB59" s="354"/>
      <c r="AC59" s="355"/>
      <c r="AD59" s="354"/>
      <c r="AE59" s="355"/>
      <c r="AF59" s="354"/>
      <c r="AG59" s="355"/>
      <c r="AH59" s="354"/>
      <c r="AI59" s="355"/>
      <c r="AJ59" s="354"/>
      <c r="AK59" s="355"/>
      <c r="AL59" s="354"/>
      <c r="AM59" s="355"/>
      <c r="AN59" s="354"/>
      <c r="AO59" s="355"/>
      <c r="AP59" s="354">
        <v>3</v>
      </c>
      <c r="AQ59" s="355"/>
      <c r="AR59" s="354"/>
      <c r="AS59" s="355"/>
      <c r="AT59" s="65"/>
      <c r="AU59" s="357"/>
    </row>
    <row r="60" spans="1:47" s="345" customFormat="1" ht="30" customHeight="1" x14ac:dyDescent="0.25">
      <c r="A60" s="330">
        <v>52</v>
      </c>
      <c r="B60" s="331">
        <v>41886</v>
      </c>
      <c r="C60" s="328" t="s">
        <v>674</v>
      </c>
      <c r="D60" s="346"/>
      <c r="E60" s="347"/>
      <c r="F60" s="359"/>
      <c r="G60" s="349">
        <v>2698</v>
      </c>
      <c r="H60" s="350"/>
      <c r="I60" s="351"/>
      <c r="J60" s="351"/>
      <c r="K60" s="351"/>
      <c r="L60" s="351"/>
      <c r="M60" s="351"/>
      <c r="N60" s="351"/>
      <c r="O60" s="351"/>
      <c r="P60" s="352"/>
      <c r="Q60" s="352"/>
      <c r="R60" s="352"/>
      <c r="S60" s="352"/>
      <c r="T60" s="352">
        <v>2698</v>
      </c>
      <c r="U60" s="353"/>
      <c r="V60" s="354"/>
      <c r="W60" s="355"/>
      <c r="X60" s="354"/>
      <c r="Y60" s="355"/>
      <c r="Z60" s="356"/>
      <c r="AA60" s="353"/>
      <c r="AB60" s="354"/>
      <c r="AC60" s="355"/>
      <c r="AD60" s="354"/>
      <c r="AE60" s="355"/>
      <c r="AF60" s="354"/>
      <c r="AG60" s="355"/>
      <c r="AH60" s="354"/>
      <c r="AI60" s="355"/>
      <c r="AJ60" s="354"/>
      <c r="AK60" s="355"/>
      <c r="AL60" s="354"/>
      <c r="AM60" s="355"/>
      <c r="AN60" s="354"/>
      <c r="AO60" s="355"/>
      <c r="AP60" s="354"/>
      <c r="AQ60" s="355"/>
      <c r="AR60" s="354"/>
      <c r="AS60" s="355"/>
      <c r="AT60" s="65"/>
      <c r="AU60" s="357"/>
    </row>
    <row r="61" spans="1:47" s="345" customFormat="1" ht="30" customHeight="1" x14ac:dyDescent="0.25">
      <c r="A61" s="330">
        <v>53</v>
      </c>
      <c r="B61" s="331">
        <v>41887</v>
      </c>
      <c r="C61" s="328" t="s">
        <v>528</v>
      </c>
      <c r="D61" s="346"/>
      <c r="E61" s="347"/>
      <c r="F61" s="359">
        <v>1500</v>
      </c>
      <c r="G61" s="349"/>
      <c r="H61" s="350"/>
      <c r="I61" s="351">
        <v>1500</v>
      </c>
      <c r="J61" s="351"/>
      <c r="K61" s="351"/>
      <c r="L61" s="351"/>
      <c r="M61" s="351"/>
      <c r="N61" s="351"/>
      <c r="O61" s="351"/>
      <c r="P61" s="352"/>
      <c r="Q61" s="352"/>
      <c r="R61" s="352"/>
      <c r="S61" s="352"/>
      <c r="T61" s="352"/>
      <c r="U61" s="353"/>
      <c r="V61" s="354"/>
      <c r="W61" s="355"/>
      <c r="X61" s="354"/>
      <c r="Y61" s="355"/>
      <c r="Z61" s="356"/>
      <c r="AA61" s="353"/>
      <c r="AB61" s="354"/>
      <c r="AC61" s="355"/>
      <c r="AD61" s="354"/>
      <c r="AE61" s="355"/>
      <c r="AF61" s="354"/>
      <c r="AG61" s="355"/>
      <c r="AH61" s="354"/>
      <c r="AI61" s="355"/>
      <c r="AJ61" s="354"/>
      <c r="AK61" s="355"/>
      <c r="AL61" s="354"/>
      <c r="AM61" s="355"/>
      <c r="AN61" s="354"/>
      <c r="AO61" s="355"/>
      <c r="AP61" s="354"/>
      <c r="AQ61" s="355"/>
      <c r="AR61" s="354"/>
      <c r="AS61" s="355"/>
      <c r="AT61" s="65"/>
      <c r="AU61" s="357"/>
    </row>
    <row r="62" spans="1:47" s="345" customFormat="1" ht="30" customHeight="1" x14ac:dyDescent="0.25">
      <c r="A62" s="330">
        <v>54</v>
      </c>
      <c r="B62" s="331">
        <v>41890</v>
      </c>
      <c r="C62" s="328" t="s">
        <v>1</v>
      </c>
      <c r="D62" s="346"/>
      <c r="E62" s="347"/>
      <c r="F62" s="348">
        <v>6000</v>
      </c>
      <c r="G62" s="349"/>
      <c r="H62" s="350"/>
      <c r="I62" s="351">
        <v>6000</v>
      </c>
      <c r="J62" s="351"/>
      <c r="K62" s="351"/>
      <c r="L62" s="351"/>
      <c r="M62" s="351"/>
      <c r="N62" s="351"/>
      <c r="O62" s="351"/>
      <c r="P62" s="352"/>
      <c r="Q62" s="352"/>
      <c r="R62" s="352"/>
      <c r="S62" s="352"/>
      <c r="T62" s="352"/>
      <c r="U62" s="353"/>
      <c r="V62" s="354"/>
      <c r="W62" s="355"/>
      <c r="X62" s="354"/>
      <c r="Y62" s="355"/>
      <c r="Z62" s="356"/>
      <c r="AA62" s="353"/>
      <c r="AB62" s="354"/>
      <c r="AC62" s="355"/>
      <c r="AD62" s="354"/>
      <c r="AE62" s="355"/>
      <c r="AF62" s="354"/>
      <c r="AG62" s="355"/>
      <c r="AH62" s="354"/>
      <c r="AI62" s="355"/>
      <c r="AJ62" s="354"/>
      <c r="AK62" s="355"/>
      <c r="AL62" s="354"/>
      <c r="AM62" s="355"/>
      <c r="AN62" s="354"/>
      <c r="AO62" s="355"/>
      <c r="AP62" s="354"/>
      <c r="AQ62" s="355"/>
      <c r="AR62" s="354"/>
      <c r="AS62" s="355"/>
      <c r="AT62" s="65"/>
      <c r="AU62" s="357"/>
    </row>
    <row r="63" spans="1:47" s="345" customFormat="1" ht="30" customHeight="1" x14ac:dyDescent="0.25">
      <c r="A63" s="330">
        <v>55</v>
      </c>
      <c r="B63" s="331">
        <v>41891</v>
      </c>
      <c r="C63" s="328" t="s">
        <v>1</v>
      </c>
      <c r="D63" s="346"/>
      <c r="E63" s="347"/>
      <c r="F63" s="348">
        <v>1550</v>
      </c>
      <c r="G63" s="349"/>
      <c r="H63" s="350"/>
      <c r="I63" s="351">
        <v>1500</v>
      </c>
      <c r="J63" s="351"/>
      <c r="K63" s="351"/>
      <c r="L63" s="351"/>
      <c r="M63" s="351">
        <v>50</v>
      </c>
      <c r="N63" s="351"/>
      <c r="O63" s="351"/>
      <c r="P63" s="352"/>
      <c r="Q63" s="352"/>
      <c r="R63" s="352"/>
      <c r="S63" s="352"/>
      <c r="T63" s="352"/>
      <c r="U63" s="353"/>
      <c r="V63" s="354"/>
      <c r="W63" s="355"/>
      <c r="X63" s="354"/>
      <c r="Y63" s="355"/>
      <c r="Z63" s="356"/>
      <c r="AA63" s="353"/>
      <c r="AB63" s="354"/>
      <c r="AC63" s="355"/>
      <c r="AD63" s="354"/>
      <c r="AE63" s="355"/>
      <c r="AF63" s="354"/>
      <c r="AG63" s="355"/>
      <c r="AH63" s="354"/>
      <c r="AI63" s="355"/>
      <c r="AJ63" s="354"/>
      <c r="AK63" s="355"/>
      <c r="AL63" s="354"/>
      <c r="AM63" s="355"/>
      <c r="AN63" s="354"/>
      <c r="AO63" s="355"/>
      <c r="AP63" s="354"/>
      <c r="AQ63" s="355"/>
      <c r="AR63" s="354"/>
      <c r="AS63" s="355"/>
      <c r="AT63" s="65"/>
      <c r="AU63" s="357"/>
    </row>
    <row r="64" spans="1:47" s="345" customFormat="1" ht="30" customHeight="1" x14ac:dyDescent="0.25">
      <c r="A64" s="330">
        <v>56</v>
      </c>
      <c r="B64" s="331">
        <v>41911</v>
      </c>
      <c r="C64" s="328" t="s">
        <v>675</v>
      </c>
      <c r="D64" s="346"/>
      <c r="E64" s="347"/>
      <c r="F64" s="348"/>
      <c r="G64" s="349">
        <v>234</v>
      </c>
      <c r="H64" s="350"/>
      <c r="I64" s="351"/>
      <c r="J64" s="351"/>
      <c r="K64" s="351"/>
      <c r="L64" s="351"/>
      <c r="M64" s="351"/>
      <c r="N64" s="351"/>
      <c r="O64" s="351"/>
      <c r="P64" s="352"/>
      <c r="Q64" s="352"/>
      <c r="R64" s="352"/>
      <c r="S64" s="352"/>
      <c r="T64" s="352"/>
      <c r="U64" s="353"/>
      <c r="V64" s="354"/>
      <c r="W64" s="355"/>
      <c r="X64" s="354">
        <v>234</v>
      </c>
      <c r="Y64" s="355"/>
      <c r="Z64" s="356"/>
      <c r="AA64" s="353"/>
      <c r="AB64" s="354"/>
      <c r="AC64" s="355"/>
      <c r="AD64" s="354"/>
      <c r="AE64" s="355"/>
      <c r="AF64" s="354"/>
      <c r="AG64" s="355"/>
      <c r="AH64" s="354"/>
      <c r="AI64" s="355"/>
      <c r="AJ64" s="354"/>
      <c r="AK64" s="355"/>
      <c r="AL64" s="354"/>
      <c r="AM64" s="355"/>
      <c r="AN64" s="354"/>
      <c r="AO64" s="355"/>
      <c r="AP64" s="354"/>
      <c r="AQ64" s="355"/>
      <c r="AR64" s="354"/>
      <c r="AS64" s="355"/>
      <c r="AT64" s="65"/>
      <c r="AU64" s="357"/>
    </row>
    <row r="65" spans="1:47" s="345" customFormat="1" ht="30" customHeight="1" x14ac:dyDescent="0.25">
      <c r="A65" s="330">
        <v>57</v>
      </c>
      <c r="B65" s="331">
        <v>41912</v>
      </c>
      <c r="C65" s="328" t="s">
        <v>528</v>
      </c>
      <c r="D65" s="346"/>
      <c r="E65" s="347"/>
      <c r="F65" s="348">
        <v>1500</v>
      </c>
      <c r="G65" s="349"/>
      <c r="H65" s="350"/>
      <c r="I65" s="351">
        <v>1500</v>
      </c>
      <c r="J65" s="351"/>
      <c r="K65" s="351"/>
      <c r="L65" s="351"/>
      <c r="M65" s="351"/>
      <c r="N65" s="351"/>
      <c r="O65" s="351"/>
      <c r="P65" s="352"/>
      <c r="Q65" s="352"/>
      <c r="R65" s="352"/>
      <c r="S65" s="352"/>
      <c r="T65" s="352"/>
      <c r="U65" s="353"/>
      <c r="V65" s="354"/>
      <c r="W65" s="355"/>
      <c r="X65" s="354"/>
      <c r="Y65" s="355"/>
      <c r="Z65" s="356"/>
      <c r="AA65" s="353"/>
      <c r="AB65" s="354"/>
      <c r="AC65" s="355"/>
      <c r="AD65" s="354"/>
      <c r="AE65" s="355"/>
      <c r="AF65" s="354"/>
      <c r="AG65" s="355"/>
      <c r="AH65" s="354"/>
      <c r="AI65" s="355"/>
      <c r="AJ65" s="354"/>
      <c r="AK65" s="355"/>
      <c r="AL65" s="354"/>
      <c r="AM65" s="355"/>
      <c r="AN65" s="354"/>
      <c r="AO65" s="355"/>
      <c r="AP65" s="354"/>
      <c r="AQ65" s="355"/>
      <c r="AR65" s="354"/>
      <c r="AS65" s="355"/>
      <c r="AT65" s="65"/>
      <c r="AU65" s="357"/>
    </row>
    <row r="66" spans="1:47" s="345" customFormat="1" ht="30" customHeight="1" x14ac:dyDescent="0.25">
      <c r="A66" s="330">
        <v>58</v>
      </c>
      <c r="B66" s="331">
        <v>41913</v>
      </c>
      <c r="C66" s="328" t="s">
        <v>676</v>
      </c>
      <c r="D66" s="346"/>
      <c r="E66" s="347"/>
      <c r="F66" s="348"/>
      <c r="G66" s="349">
        <v>633.20000000000005</v>
      </c>
      <c r="H66" s="350"/>
      <c r="I66" s="351"/>
      <c r="J66" s="351"/>
      <c r="K66" s="351"/>
      <c r="L66" s="351"/>
      <c r="M66" s="351"/>
      <c r="N66" s="351"/>
      <c r="O66" s="351"/>
      <c r="P66" s="352"/>
      <c r="Q66" s="352"/>
      <c r="R66" s="352"/>
      <c r="S66" s="352"/>
      <c r="T66" s="352"/>
      <c r="U66" s="353"/>
      <c r="V66" s="354"/>
      <c r="W66" s="355"/>
      <c r="X66" s="354">
        <f>149</f>
        <v>149</v>
      </c>
      <c r="Y66" s="355"/>
      <c r="Z66" s="356">
        <f>46+50</f>
        <v>96</v>
      </c>
      <c r="AA66" s="353"/>
      <c r="AB66" s="354"/>
      <c r="AC66" s="355"/>
      <c r="AD66" s="354"/>
      <c r="AE66" s="355"/>
      <c r="AF66" s="354"/>
      <c r="AG66" s="355"/>
      <c r="AH66" s="354"/>
      <c r="AI66" s="355"/>
      <c r="AJ66" s="354"/>
      <c r="AK66" s="355"/>
      <c r="AL66" s="354"/>
      <c r="AM66" s="355"/>
      <c r="AN66" s="354">
        <v>388.2</v>
      </c>
      <c r="AO66" s="355"/>
      <c r="AP66" s="354"/>
      <c r="AQ66" s="355"/>
      <c r="AR66" s="354"/>
      <c r="AS66" s="355"/>
      <c r="AT66" s="65"/>
      <c r="AU66" s="357"/>
    </row>
    <row r="67" spans="1:47" s="345" customFormat="1" ht="30" customHeight="1" x14ac:dyDescent="0.25">
      <c r="A67" s="330">
        <v>59</v>
      </c>
      <c r="B67" s="331">
        <v>41926</v>
      </c>
      <c r="C67" s="328" t="s">
        <v>528</v>
      </c>
      <c r="D67" s="346"/>
      <c r="E67" s="347"/>
      <c r="F67" s="348">
        <v>1550</v>
      </c>
      <c r="G67" s="349"/>
      <c r="H67" s="350"/>
      <c r="I67" s="351">
        <v>1500</v>
      </c>
      <c r="J67" s="351"/>
      <c r="K67" s="351"/>
      <c r="L67" s="351"/>
      <c r="M67" s="351">
        <v>50</v>
      </c>
      <c r="N67" s="351"/>
      <c r="O67" s="351"/>
      <c r="P67" s="352"/>
      <c r="Q67" s="352"/>
      <c r="R67" s="352"/>
      <c r="S67" s="352"/>
      <c r="T67" s="352"/>
      <c r="U67" s="353"/>
      <c r="V67" s="354"/>
      <c r="W67" s="355"/>
      <c r="X67" s="354"/>
      <c r="Y67" s="355"/>
      <c r="Z67" s="356"/>
      <c r="AA67" s="353"/>
      <c r="AB67" s="354"/>
      <c r="AC67" s="355"/>
      <c r="AD67" s="354"/>
      <c r="AE67" s="355"/>
      <c r="AF67" s="354"/>
      <c r="AG67" s="355"/>
      <c r="AH67" s="354"/>
      <c r="AI67" s="355"/>
      <c r="AJ67" s="354"/>
      <c r="AK67" s="355"/>
      <c r="AL67" s="354"/>
      <c r="AM67" s="355"/>
      <c r="AN67" s="354"/>
      <c r="AO67" s="355"/>
      <c r="AP67" s="354"/>
      <c r="AQ67" s="355"/>
      <c r="AR67" s="354"/>
      <c r="AS67" s="355"/>
      <c r="AT67" s="65"/>
      <c r="AU67" s="357"/>
    </row>
    <row r="68" spans="1:47" s="345" customFormat="1" ht="30" customHeight="1" x14ac:dyDescent="0.25">
      <c r="A68" s="330">
        <v>60</v>
      </c>
      <c r="B68" s="331">
        <v>41927</v>
      </c>
      <c r="C68" s="328" t="s">
        <v>528</v>
      </c>
      <c r="D68" s="346"/>
      <c r="E68" s="347"/>
      <c r="F68" s="348">
        <v>1500</v>
      </c>
      <c r="G68" s="349"/>
      <c r="H68" s="350"/>
      <c r="I68" s="351">
        <v>1500</v>
      </c>
      <c r="J68" s="351"/>
      <c r="K68" s="351"/>
      <c r="L68" s="351"/>
      <c r="M68" s="351"/>
      <c r="N68" s="351"/>
      <c r="O68" s="351"/>
      <c r="P68" s="352"/>
      <c r="Q68" s="352"/>
      <c r="R68" s="352"/>
      <c r="S68" s="352"/>
      <c r="T68" s="352"/>
      <c r="U68" s="353"/>
      <c r="V68" s="354"/>
      <c r="W68" s="355"/>
      <c r="X68" s="354"/>
      <c r="Y68" s="355"/>
      <c r="Z68" s="356"/>
      <c r="AA68" s="353"/>
      <c r="AB68" s="354"/>
      <c r="AC68" s="355"/>
      <c r="AD68" s="354"/>
      <c r="AE68" s="355"/>
      <c r="AF68" s="354"/>
      <c r="AG68" s="355"/>
      <c r="AH68" s="354"/>
      <c r="AI68" s="355"/>
      <c r="AJ68" s="354"/>
      <c r="AK68" s="355"/>
      <c r="AL68" s="354"/>
      <c r="AM68" s="355"/>
      <c r="AN68" s="354"/>
      <c r="AO68" s="355"/>
      <c r="AP68" s="354"/>
      <c r="AQ68" s="355"/>
      <c r="AR68" s="354"/>
      <c r="AS68" s="355"/>
      <c r="AT68" s="65"/>
      <c r="AU68" s="357"/>
    </row>
    <row r="69" spans="1:47" s="345" customFormat="1" ht="30" customHeight="1" x14ac:dyDescent="0.25">
      <c r="A69" s="330">
        <v>61</v>
      </c>
      <c r="B69" s="331">
        <v>41928</v>
      </c>
      <c r="C69" s="328" t="s">
        <v>679</v>
      </c>
      <c r="D69" s="346"/>
      <c r="E69" s="347"/>
      <c r="F69" s="348"/>
      <c r="G69" s="349">
        <v>1140</v>
      </c>
      <c r="H69" s="350"/>
      <c r="I69" s="351"/>
      <c r="J69" s="351"/>
      <c r="K69" s="351"/>
      <c r="L69" s="351"/>
      <c r="M69" s="351"/>
      <c r="N69" s="351"/>
      <c r="O69" s="351"/>
      <c r="P69" s="352"/>
      <c r="Q69" s="352"/>
      <c r="R69" s="352"/>
      <c r="S69" s="352"/>
      <c r="T69" s="352"/>
      <c r="U69" s="353"/>
      <c r="V69" s="354"/>
      <c r="W69" s="355"/>
      <c r="X69" s="354"/>
      <c r="Y69" s="355"/>
      <c r="Z69" s="356"/>
      <c r="AA69" s="353"/>
      <c r="AB69" s="354"/>
      <c r="AC69" s="355"/>
      <c r="AD69" s="354"/>
      <c r="AE69" s="355"/>
      <c r="AF69" s="354"/>
      <c r="AG69" s="355"/>
      <c r="AH69" s="354">
        <v>1000</v>
      </c>
      <c r="AI69" s="355"/>
      <c r="AJ69" s="354"/>
      <c r="AK69" s="355"/>
      <c r="AL69" s="354"/>
      <c r="AM69" s="355"/>
      <c r="AN69" s="354">
        <v>140</v>
      </c>
      <c r="AO69" s="355"/>
      <c r="AP69" s="354"/>
      <c r="AQ69" s="355"/>
      <c r="AR69" s="354"/>
      <c r="AS69" s="355"/>
      <c r="AT69" s="65"/>
      <c r="AU69" s="357"/>
    </row>
    <row r="70" spans="1:47" s="345" customFormat="1" ht="30" customHeight="1" x14ac:dyDescent="0.25">
      <c r="A70" s="330">
        <v>62</v>
      </c>
      <c r="B70" s="331">
        <v>41929</v>
      </c>
      <c r="C70" s="328" t="s">
        <v>681</v>
      </c>
      <c r="D70" s="346"/>
      <c r="E70" s="347"/>
      <c r="F70" s="348"/>
      <c r="G70" s="349">
        <v>10088</v>
      </c>
      <c r="H70" s="350"/>
      <c r="I70" s="351"/>
      <c r="J70" s="351"/>
      <c r="K70" s="351"/>
      <c r="L70" s="351"/>
      <c r="M70" s="351"/>
      <c r="N70" s="351"/>
      <c r="O70" s="351"/>
      <c r="P70" s="352"/>
      <c r="Q70" s="352"/>
      <c r="R70" s="352"/>
      <c r="S70" s="352"/>
      <c r="T70" s="352"/>
      <c r="U70" s="353"/>
      <c r="V70" s="354"/>
      <c r="W70" s="355"/>
      <c r="X70" s="354"/>
      <c r="Y70" s="355"/>
      <c r="Z70" s="356">
        <v>10088</v>
      </c>
      <c r="AA70" s="353"/>
      <c r="AB70" s="354"/>
      <c r="AC70" s="355"/>
      <c r="AD70" s="354"/>
      <c r="AE70" s="355"/>
      <c r="AF70" s="354"/>
      <c r="AG70" s="355"/>
      <c r="AH70" s="354"/>
      <c r="AI70" s="355"/>
      <c r="AJ70" s="354"/>
      <c r="AK70" s="355"/>
      <c r="AL70" s="354"/>
      <c r="AM70" s="355"/>
      <c r="AN70" s="354"/>
      <c r="AO70" s="355"/>
      <c r="AP70" s="354"/>
      <c r="AQ70" s="355"/>
      <c r="AR70" s="354"/>
      <c r="AS70" s="355"/>
      <c r="AT70" s="65"/>
      <c r="AU70" s="357"/>
    </row>
    <row r="71" spans="1:47" s="345" customFormat="1" ht="30" customHeight="1" x14ac:dyDescent="0.25">
      <c r="A71" s="330">
        <v>63</v>
      </c>
      <c r="B71" s="331">
        <v>41934</v>
      </c>
      <c r="C71" s="328" t="s">
        <v>686</v>
      </c>
      <c r="D71" s="346"/>
      <c r="E71" s="347"/>
      <c r="F71" s="348"/>
      <c r="G71" s="349">
        <v>5000</v>
      </c>
      <c r="H71" s="350"/>
      <c r="I71" s="351"/>
      <c r="J71" s="351"/>
      <c r="K71" s="351"/>
      <c r="L71" s="351"/>
      <c r="M71" s="351"/>
      <c r="N71" s="351"/>
      <c r="O71" s="351"/>
      <c r="P71" s="352"/>
      <c r="Q71" s="352"/>
      <c r="R71" s="352"/>
      <c r="S71" s="352"/>
      <c r="T71" s="352"/>
      <c r="U71" s="353"/>
      <c r="V71" s="354"/>
      <c r="W71" s="355"/>
      <c r="X71" s="354"/>
      <c r="Y71" s="355"/>
      <c r="Z71" s="356"/>
      <c r="AA71" s="353"/>
      <c r="AB71" s="354"/>
      <c r="AC71" s="355"/>
      <c r="AD71" s="354"/>
      <c r="AE71" s="355"/>
      <c r="AF71" s="354"/>
      <c r="AG71" s="355"/>
      <c r="AH71" s="354"/>
      <c r="AI71" s="355"/>
      <c r="AJ71" s="354"/>
      <c r="AK71" s="355"/>
      <c r="AL71" s="354"/>
      <c r="AM71" s="355"/>
      <c r="AN71" s="354"/>
      <c r="AO71" s="355"/>
      <c r="AP71" s="354"/>
      <c r="AQ71" s="355"/>
      <c r="AR71" s="354">
        <v>5000</v>
      </c>
      <c r="AS71" s="355"/>
      <c r="AT71" s="65"/>
      <c r="AU71" s="357"/>
    </row>
    <row r="72" spans="1:47" s="345" customFormat="1" ht="30" customHeight="1" x14ac:dyDescent="0.25">
      <c r="A72" s="330">
        <v>64</v>
      </c>
      <c r="B72" s="331">
        <v>41934</v>
      </c>
      <c r="C72" s="328" t="s">
        <v>687</v>
      </c>
      <c r="D72" s="346"/>
      <c r="E72" s="347"/>
      <c r="F72" s="348">
        <v>2500</v>
      </c>
      <c r="G72" s="349"/>
      <c r="H72" s="350"/>
      <c r="I72" s="351"/>
      <c r="J72" s="351"/>
      <c r="K72" s="351"/>
      <c r="L72" s="351"/>
      <c r="M72" s="351"/>
      <c r="N72" s="351"/>
      <c r="O72" s="351"/>
      <c r="P72" s="352"/>
      <c r="Q72" s="352"/>
      <c r="R72" s="352"/>
      <c r="S72" s="352"/>
      <c r="T72" s="352"/>
      <c r="U72" s="353"/>
      <c r="V72" s="354"/>
      <c r="W72" s="355"/>
      <c r="X72" s="354"/>
      <c r="Y72" s="355"/>
      <c r="Z72" s="356"/>
      <c r="AA72" s="353"/>
      <c r="AB72" s="354"/>
      <c r="AC72" s="355"/>
      <c r="AD72" s="354"/>
      <c r="AE72" s="355"/>
      <c r="AF72" s="354"/>
      <c r="AG72" s="355"/>
      <c r="AH72" s="354"/>
      <c r="AI72" s="355"/>
      <c r="AJ72" s="354"/>
      <c r="AK72" s="355"/>
      <c r="AL72" s="354"/>
      <c r="AM72" s="355"/>
      <c r="AN72" s="354"/>
      <c r="AO72" s="355"/>
      <c r="AP72" s="354"/>
      <c r="AQ72" s="355"/>
      <c r="AR72" s="354">
        <v>-2500</v>
      </c>
      <c r="AS72" s="355"/>
      <c r="AT72" s="65"/>
      <c r="AU72" s="357"/>
    </row>
    <row r="73" spans="1:47" s="345" customFormat="1" ht="30" customHeight="1" x14ac:dyDescent="0.25">
      <c r="A73" s="330">
        <v>65</v>
      </c>
      <c r="B73" s="331">
        <v>41948</v>
      </c>
      <c r="C73" s="328" t="s">
        <v>519</v>
      </c>
      <c r="D73" s="346"/>
      <c r="E73" s="347"/>
      <c r="F73" s="348"/>
      <c r="G73" s="349">
        <v>3</v>
      </c>
      <c r="H73" s="350"/>
      <c r="I73" s="351"/>
      <c r="J73" s="351"/>
      <c r="K73" s="351"/>
      <c r="L73" s="351"/>
      <c r="M73" s="351"/>
      <c r="N73" s="351"/>
      <c r="O73" s="351"/>
      <c r="P73" s="352"/>
      <c r="Q73" s="352"/>
      <c r="R73" s="352"/>
      <c r="S73" s="352"/>
      <c r="T73" s="352"/>
      <c r="U73" s="353"/>
      <c r="V73" s="354"/>
      <c r="W73" s="355"/>
      <c r="X73" s="354"/>
      <c r="Y73" s="355"/>
      <c r="Z73" s="356"/>
      <c r="AA73" s="353"/>
      <c r="AB73" s="354"/>
      <c r="AC73" s="355"/>
      <c r="AD73" s="354"/>
      <c r="AE73" s="355"/>
      <c r="AF73" s="354"/>
      <c r="AG73" s="355"/>
      <c r="AH73" s="354"/>
      <c r="AI73" s="355"/>
      <c r="AJ73" s="354"/>
      <c r="AK73" s="355"/>
      <c r="AL73" s="354"/>
      <c r="AM73" s="355"/>
      <c r="AN73" s="354"/>
      <c r="AO73" s="355"/>
      <c r="AP73" s="354">
        <v>3</v>
      </c>
      <c r="AQ73" s="355"/>
      <c r="AR73" s="354"/>
      <c r="AS73" s="355"/>
      <c r="AT73" s="65"/>
      <c r="AU73" s="357"/>
    </row>
    <row r="74" spans="1:47" s="345" customFormat="1" ht="30" customHeight="1" x14ac:dyDescent="0.25">
      <c r="A74" s="330">
        <v>66</v>
      </c>
      <c r="B74" s="331">
        <v>41949</v>
      </c>
      <c r="C74" s="333" t="s">
        <v>689</v>
      </c>
      <c r="D74" s="346"/>
      <c r="E74" s="347"/>
      <c r="F74" s="348"/>
      <c r="G74" s="349">
        <v>4620</v>
      </c>
      <c r="H74" s="350"/>
      <c r="I74" s="351"/>
      <c r="J74" s="351"/>
      <c r="K74" s="351"/>
      <c r="L74" s="351"/>
      <c r="M74" s="351"/>
      <c r="N74" s="351"/>
      <c r="O74" s="351"/>
      <c r="P74" s="352"/>
      <c r="Q74" s="352"/>
      <c r="R74" s="352"/>
      <c r="S74" s="352"/>
      <c r="T74" s="352"/>
      <c r="U74" s="353"/>
      <c r="V74" s="354"/>
      <c r="W74" s="355"/>
      <c r="X74" s="354">
        <v>4620</v>
      </c>
      <c r="Y74" s="355"/>
      <c r="Z74" s="356"/>
      <c r="AA74" s="353"/>
      <c r="AB74" s="354"/>
      <c r="AC74" s="355"/>
      <c r="AD74" s="354"/>
      <c r="AE74" s="355"/>
      <c r="AF74" s="354"/>
      <c r="AG74" s="355"/>
      <c r="AH74" s="354"/>
      <c r="AI74" s="355"/>
      <c r="AJ74" s="354"/>
      <c r="AK74" s="355"/>
      <c r="AL74" s="354"/>
      <c r="AM74" s="355"/>
      <c r="AN74" s="354"/>
      <c r="AO74" s="355"/>
      <c r="AP74" s="354"/>
      <c r="AQ74" s="355"/>
      <c r="AR74" s="354"/>
      <c r="AS74" s="355"/>
      <c r="AT74" s="65"/>
      <c r="AU74" s="357"/>
    </row>
    <row r="75" spans="1:47" s="345" customFormat="1" ht="30" customHeight="1" x14ac:dyDescent="0.25">
      <c r="A75" s="330">
        <v>67</v>
      </c>
      <c r="B75" s="331">
        <v>41950</v>
      </c>
      <c r="C75" s="328" t="s">
        <v>690</v>
      </c>
      <c r="D75" s="346"/>
      <c r="E75" s="347"/>
      <c r="F75" s="348"/>
      <c r="G75" s="349">
        <v>6786</v>
      </c>
      <c r="H75" s="350"/>
      <c r="I75" s="351"/>
      <c r="J75" s="351"/>
      <c r="K75" s="351"/>
      <c r="L75" s="351"/>
      <c r="M75" s="351"/>
      <c r="N75" s="351"/>
      <c r="O75" s="351"/>
      <c r="P75" s="352"/>
      <c r="Q75" s="352"/>
      <c r="R75" s="352"/>
      <c r="S75" s="352"/>
      <c r="T75" s="352"/>
      <c r="U75" s="353"/>
      <c r="V75" s="354"/>
      <c r="W75" s="355"/>
      <c r="X75" s="354"/>
      <c r="Y75" s="355"/>
      <c r="Z75" s="356"/>
      <c r="AA75" s="353"/>
      <c r="AB75" s="354"/>
      <c r="AC75" s="355"/>
      <c r="AD75" s="354">
        <v>6786</v>
      </c>
      <c r="AE75" s="355"/>
      <c r="AF75" s="354"/>
      <c r="AG75" s="355"/>
      <c r="AH75" s="354"/>
      <c r="AI75" s="355"/>
      <c r="AJ75" s="354"/>
      <c r="AK75" s="355"/>
      <c r="AL75" s="354"/>
      <c r="AM75" s="355"/>
      <c r="AN75" s="354"/>
      <c r="AO75" s="355"/>
      <c r="AP75" s="354"/>
      <c r="AQ75" s="355"/>
      <c r="AR75" s="354"/>
      <c r="AS75" s="355"/>
      <c r="AT75" s="65"/>
      <c r="AU75" s="357"/>
    </row>
    <row r="76" spans="1:47" s="345" customFormat="1" ht="30" customHeight="1" x14ac:dyDescent="0.25">
      <c r="A76" s="330">
        <v>68</v>
      </c>
      <c r="B76" s="331">
        <v>41956</v>
      </c>
      <c r="C76" s="328" t="s">
        <v>691</v>
      </c>
      <c r="D76" s="346"/>
      <c r="E76" s="347"/>
      <c r="F76" s="348"/>
      <c r="G76" s="349">
        <v>797.19</v>
      </c>
      <c r="H76" s="350"/>
      <c r="I76" s="351"/>
      <c r="J76" s="351"/>
      <c r="K76" s="351"/>
      <c r="L76" s="351"/>
      <c r="M76" s="351"/>
      <c r="N76" s="351"/>
      <c r="O76" s="351"/>
      <c r="P76" s="352"/>
      <c r="Q76" s="352"/>
      <c r="R76" s="352"/>
      <c r="S76" s="352"/>
      <c r="T76" s="352"/>
      <c r="U76" s="353"/>
      <c r="V76" s="354"/>
      <c r="W76" s="355"/>
      <c r="X76" s="354">
        <v>797.19</v>
      </c>
      <c r="Y76" s="355"/>
      <c r="Z76" s="356"/>
      <c r="AA76" s="353"/>
      <c r="AB76" s="354"/>
      <c r="AC76" s="355"/>
      <c r="AD76" s="354"/>
      <c r="AE76" s="355"/>
      <c r="AF76" s="354"/>
      <c r="AG76" s="355"/>
      <c r="AH76" s="354"/>
      <c r="AI76" s="355"/>
      <c r="AJ76" s="354"/>
      <c r="AK76" s="355"/>
      <c r="AL76" s="354"/>
      <c r="AM76" s="355"/>
      <c r="AN76" s="354"/>
      <c r="AO76" s="355"/>
      <c r="AP76" s="354"/>
      <c r="AQ76" s="355"/>
      <c r="AR76" s="354"/>
      <c r="AS76" s="355"/>
      <c r="AT76" s="65"/>
      <c r="AU76" s="357"/>
    </row>
    <row r="77" spans="1:47" s="345" customFormat="1" ht="30" customHeight="1" x14ac:dyDescent="0.25">
      <c r="A77" s="330">
        <v>69</v>
      </c>
      <c r="B77" s="331">
        <v>41976</v>
      </c>
      <c r="C77" s="328" t="s">
        <v>519</v>
      </c>
      <c r="D77" s="346"/>
      <c r="E77" s="347"/>
      <c r="F77" s="348"/>
      <c r="G77" s="349">
        <v>3</v>
      </c>
      <c r="H77" s="350"/>
      <c r="I77" s="351"/>
      <c r="J77" s="351"/>
      <c r="K77" s="351"/>
      <c r="L77" s="351"/>
      <c r="M77" s="351"/>
      <c r="N77" s="351"/>
      <c r="O77" s="351"/>
      <c r="P77" s="352"/>
      <c r="Q77" s="352"/>
      <c r="R77" s="352"/>
      <c r="S77" s="352"/>
      <c r="T77" s="352"/>
      <c r="U77" s="353"/>
      <c r="V77" s="354"/>
      <c r="W77" s="355"/>
      <c r="X77" s="354"/>
      <c r="Y77" s="355"/>
      <c r="Z77" s="356"/>
      <c r="AA77" s="353"/>
      <c r="AB77" s="354"/>
      <c r="AC77" s="355"/>
      <c r="AD77" s="354"/>
      <c r="AE77" s="355"/>
      <c r="AF77" s="354"/>
      <c r="AG77" s="355"/>
      <c r="AH77" s="354"/>
      <c r="AI77" s="355"/>
      <c r="AJ77" s="354"/>
      <c r="AK77" s="355"/>
      <c r="AL77" s="354"/>
      <c r="AM77" s="355"/>
      <c r="AN77" s="354"/>
      <c r="AO77" s="355"/>
      <c r="AP77" s="354">
        <v>3</v>
      </c>
      <c r="AQ77" s="355"/>
      <c r="AR77" s="354"/>
      <c r="AS77" s="355"/>
      <c r="AT77" s="65"/>
      <c r="AU77" s="357"/>
    </row>
    <row r="78" spans="1:47" s="345" customFormat="1" ht="30" customHeight="1" x14ac:dyDescent="0.25">
      <c r="A78" s="330">
        <v>70</v>
      </c>
      <c r="B78" s="331">
        <v>41984</v>
      </c>
      <c r="C78" s="328" t="s">
        <v>692</v>
      </c>
      <c r="D78" s="346"/>
      <c r="E78" s="347"/>
      <c r="F78" s="348"/>
      <c r="G78" s="349">
        <v>14106</v>
      </c>
      <c r="H78" s="350"/>
      <c r="I78" s="351"/>
      <c r="J78" s="351"/>
      <c r="K78" s="351"/>
      <c r="L78" s="351"/>
      <c r="M78" s="351"/>
      <c r="N78" s="351"/>
      <c r="O78" s="351"/>
      <c r="P78" s="352"/>
      <c r="Q78" s="352"/>
      <c r="R78" s="352"/>
      <c r="S78" s="352"/>
      <c r="T78" s="352"/>
      <c r="U78" s="353"/>
      <c r="V78" s="354"/>
      <c r="W78" s="355"/>
      <c r="X78" s="354"/>
      <c r="Y78" s="355"/>
      <c r="Z78" s="356">
        <v>14106</v>
      </c>
      <c r="AA78" s="353"/>
      <c r="AB78" s="354"/>
      <c r="AC78" s="355"/>
      <c r="AD78" s="354"/>
      <c r="AE78" s="355"/>
      <c r="AF78" s="354"/>
      <c r="AG78" s="355"/>
      <c r="AH78" s="354"/>
      <c r="AI78" s="355"/>
      <c r="AJ78" s="354"/>
      <c r="AK78" s="355"/>
      <c r="AL78" s="354"/>
      <c r="AM78" s="355"/>
      <c r="AN78" s="354"/>
      <c r="AO78" s="355"/>
      <c r="AP78" s="354"/>
      <c r="AQ78" s="355"/>
      <c r="AR78" s="354"/>
      <c r="AS78" s="355"/>
      <c r="AT78" s="65"/>
      <c r="AU78" s="357"/>
    </row>
    <row r="79" spans="1:47" s="345" customFormat="1" ht="30" customHeight="1" x14ac:dyDescent="0.25">
      <c r="A79" s="330">
        <v>71</v>
      </c>
      <c r="B79" s="331">
        <v>41996</v>
      </c>
      <c r="C79" s="328" t="s">
        <v>699</v>
      </c>
      <c r="D79" s="346"/>
      <c r="E79" s="347"/>
      <c r="F79" s="348"/>
      <c r="G79" s="349">
        <v>3575</v>
      </c>
      <c r="H79" s="350"/>
      <c r="I79" s="351"/>
      <c r="J79" s="351"/>
      <c r="K79" s="351"/>
      <c r="L79" s="351"/>
      <c r="M79" s="351"/>
      <c r="N79" s="351"/>
      <c r="O79" s="351"/>
      <c r="P79" s="352"/>
      <c r="Q79" s="352"/>
      <c r="R79" s="352"/>
      <c r="S79" s="352"/>
      <c r="T79" s="352"/>
      <c r="U79" s="353"/>
      <c r="V79" s="354"/>
      <c r="W79" s="355"/>
      <c r="X79" s="354"/>
      <c r="Y79" s="355"/>
      <c r="Z79" s="356">
        <v>3575</v>
      </c>
      <c r="AA79" s="353"/>
      <c r="AB79" s="354"/>
      <c r="AC79" s="355"/>
      <c r="AD79" s="354"/>
      <c r="AE79" s="355"/>
      <c r="AF79" s="354"/>
      <c r="AG79" s="355"/>
      <c r="AH79" s="354"/>
      <c r="AI79" s="355"/>
      <c r="AJ79" s="354"/>
      <c r="AK79" s="355"/>
      <c r="AL79" s="354"/>
      <c r="AM79" s="355"/>
      <c r="AN79" s="354"/>
      <c r="AO79" s="355"/>
      <c r="AP79" s="354"/>
      <c r="AQ79" s="355"/>
      <c r="AR79" s="354"/>
      <c r="AS79" s="355"/>
      <c r="AT79" s="65"/>
      <c r="AU79" s="357"/>
    </row>
    <row r="80" spans="1:47" s="345" customFormat="1" ht="30" customHeight="1" x14ac:dyDescent="0.25">
      <c r="A80" s="330">
        <v>72</v>
      </c>
      <c r="B80" s="331">
        <v>42011</v>
      </c>
      <c r="C80" s="328" t="s">
        <v>696</v>
      </c>
      <c r="D80" s="346"/>
      <c r="E80" s="347"/>
      <c r="F80" s="348"/>
      <c r="G80" s="349">
        <v>450</v>
      </c>
      <c r="H80" s="350"/>
      <c r="I80" s="351"/>
      <c r="J80" s="351"/>
      <c r="K80" s="351"/>
      <c r="L80" s="351"/>
      <c r="M80" s="351"/>
      <c r="N80" s="351"/>
      <c r="O80" s="351"/>
      <c r="P80" s="352"/>
      <c r="Q80" s="352"/>
      <c r="R80" s="352"/>
      <c r="S80" s="352"/>
      <c r="T80" s="352"/>
      <c r="U80" s="353"/>
      <c r="V80" s="354"/>
      <c r="W80" s="355"/>
      <c r="X80" s="354"/>
      <c r="Y80" s="355"/>
      <c r="Z80" s="356"/>
      <c r="AA80" s="353"/>
      <c r="AB80" s="354"/>
      <c r="AC80" s="355"/>
      <c r="AD80" s="354"/>
      <c r="AE80" s="355"/>
      <c r="AF80" s="354"/>
      <c r="AG80" s="355"/>
      <c r="AH80" s="354"/>
      <c r="AI80" s="355"/>
      <c r="AJ80" s="354"/>
      <c r="AK80" s="355"/>
      <c r="AL80" s="354"/>
      <c r="AM80" s="355"/>
      <c r="AN80" s="354"/>
      <c r="AO80" s="355"/>
      <c r="AP80" s="354">
        <v>450</v>
      </c>
      <c r="AQ80" s="355"/>
      <c r="AR80" s="354"/>
      <c r="AS80" s="355"/>
      <c r="AT80" s="65"/>
      <c r="AU80" s="357"/>
    </row>
    <row r="81" spans="1:47" s="345" customFormat="1" ht="30" customHeight="1" x14ac:dyDescent="0.25">
      <c r="A81" s="330">
        <v>73</v>
      </c>
      <c r="B81" s="331">
        <v>42037</v>
      </c>
      <c r="C81" s="328" t="s">
        <v>698</v>
      </c>
      <c r="D81" s="346"/>
      <c r="E81" s="347"/>
      <c r="F81" s="348">
        <v>7618</v>
      </c>
      <c r="G81" s="349"/>
      <c r="H81" s="350"/>
      <c r="I81" s="351"/>
      <c r="J81" s="351"/>
      <c r="K81" s="351">
        <v>7618</v>
      </c>
      <c r="L81" s="351"/>
      <c r="M81" s="351"/>
      <c r="N81" s="351"/>
      <c r="O81" s="351"/>
      <c r="P81" s="352"/>
      <c r="Q81" s="352"/>
      <c r="R81" s="352"/>
      <c r="S81" s="352"/>
      <c r="T81" s="352"/>
      <c r="U81" s="353"/>
      <c r="V81" s="354"/>
      <c r="W81" s="355"/>
      <c r="X81" s="354"/>
      <c r="Y81" s="355"/>
      <c r="Z81" s="356"/>
      <c r="AA81" s="353"/>
      <c r="AB81" s="354"/>
      <c r="AC81" s="355"/>
      <c r="AD81" s="354"/>
      <c r="AE81" s="355"/>
      <c r="AF81" s="354"/>
      <c r="AG81" s="355"/>
      <c r="AH81" s="354"/>
      <c r="AI81" s="355"/>
      <c r="AJ81" s="354"/>
      <c r="AK81" s="355"/>
      <c r="AL81" s="354"/>
      <c r="AM81" s="355"/>
      <c r="AN81" s="354"/>
      <c r="AO81" s="355"/>
      <c r="AP81" s="354"/>
      <c r="AQ81" s="355"/>
      <c r="AR81" s="354"/>
      <c r="AS81" s="355"/>
      <c r="AT81" s="65"/>
      <c r="AU81" s="357"/>
    </row>
    <row r="82" spans="1:47" s="345" customFormat="1" ht="30" customHeight="1" x14ac:dyDescent="0.25">
      <c r="A82" s="330">
        <v>74</v>
      </c>
      <c r="B82" s="331">
        <v>42038</v>
      </c>
      <c r="C82" s="328" t="s">
        <v>700</v>
      </c>
      <c r="D82" s="346"/>
      <c r="E82" s="347"/>
      <c r="F82" s="348"/>
      <c r="G82" s="349">
        <v>200</v>
      </c>
      <c r="H82" s="350"/>
      <c r="I82" s="351"/>
      <c r="J82" s="351"/>
      <c r="K82" s="351"/>
      <c r="L82" s="351"/>
      <c r="M82" s="351"/>
      <c r="N82" s="351"/>
      <c r="O82" s="351"/>
      <c r="P82" s="352"/>
      <c r="Q82" s="352"/>
      <c r="R82" s="352"/>
      <c r="S82" s="352"/>
      <c r="T82" s="352"/>
      <c r="U82" s="353"/>
      <c r="V82" s="354"/>
      <c r="W82" s="355"/>
      <c r="X82" s="354"/>
      <c r="Y82" s="355"/>
      <c r="Z82" s="356"/>
      <c r="AA82" s="353"/>
      <c r="AB82" s="354"/>
      <c r="AC82" s="355"/>
      <c r="AD82" s="354"/>
      <c r="AE82" s="355"/>
      <c r="AF82" s="354"/>
      <c r="AG82" s="355"/>
      <c r="AH82" s="354">
        <v>200</v>
      </c>
      <c r="AI82" s="355"/>
      <c r="AJ82" s="354"/>
      <c r="AK82" s="355"/>
      <c r="AL82" s="354"/>
      <c r="AM82" s="355"/>
      <c r="AN82" s="354"/>
      <c r="AO82" s="355"/>
      <c r="AP82" s="354"/>
      <c r="AQ82" s="355"/>
      <c r="AR82" s="354"/>
      <c r="AS82" s="355"/>
      <c r="AT82" s="65"/>
      <c r="AU82" s="357"/>
    </row>
    <row r="83" spans="1:47" s="345" customFormat="1" ht="30" customHeight="1" x14ac:dyDescent="0.25">
      <c r="A83" s="330">
        <v>75</v>
      </c>
      <c r="B83" s="331">
        <v>42072</v>
      </c>
      <c r="C83" s="328" t="s">
        <v>701</v>
      </c>
      <c r="D83" s="346"/>
      <c r="E83" s="347"/>
      <c r="F83" s="348"/>
      <c r="G83" s="349">
        <v>150</v>
      </c>
      <c r="H83" s="350"/>
      <c r="I83" s="351"/>
      <c r="J83" s="351"/>
      <c r="K83" s="351"/>
      <c r="L83" s="351"/>
      <c r="M83" s="351"/>
      <c r="N83" s="351"/>
      <c r="O83" s="351"/>
      <c r="P83" s="352"/>
      <c r="Q83" s="352"/>
      <c r="R83" s="352"/>
      <c r="S83" s="352"/>
      <c r="T83" s="352"/>
      <c r="U83" s="353"/>
      <c r="V83" s="354"/>
      <c r="W83" s="355"/>
      <c r="X83" s="354"/>
      <c r="Y83" s="355"/>
      <c r="Z83" s="356"/>
      <c r="AA83" s="353"/>
      <c r="AB83" s="354"/>
      <c r="AC83" s="355"/>
      <c r="AD83" s="354"/>
      <c r="AE83" s="355"/>
      <c r="AF83" s="354"/>
      <c r="AG83" s="355"/>
      <c r="AH83" s="354"/>
      <c r="AI83" s="355"/>
      <c r="AJ83" s="354"/>
      <c r="AK83" s="355"/>
      <c r="AL83" s="354"/>
      <c r="AM83" s="355"/>
      <c r="AN83" s="354"/>
      <c r="AO83" s="355"/>
      <c r="AP83" s="354"/>
      <c r="AQ83" s="355"/>
      <c r="AR83" s="354">
        <v>150</v>
      </c>
      <c r="AS83" s="355"/>
      <c r="AT83" s="65"/>
      <c r="AU83" s="357"/>
    </row>
    <row r="84" spans="1:47" s="345" customFormat="1" ht="30" customHeight="1" x14ac:dyDescent="0.25">
      <c r="A84" s="330">
        <v>76</v>
      </c>
      <c r="B84" s="331">
        <v>42089</v>
      </c>
      <c r="C84" s="328" t="s">
        <v>702</v>
      </c>
      <c r="D84" s="346"/>
      <c r="E84" s="347"/>
      <c r="F84" s="348"/>
      <c r="G84" s="349">
        <v>1700</v>
      </c>
      <c r="H84" s="350"/>
      <c r="I84" s="351"/>
      <c r="J84" s="351"/>
      <c r="K84" s="351"/>
      <c r="L84" s="351"/>
      <c r="M84" s="351"/>
      <c r="N84" s="351"/>
      <c r="O84" s="351"/>
      <c r="P84" s="352"/>
      <c r="Q84" s="352"/>
      <c r="R84" s="352"/>
      <c r="S84" s="352"/>
      <c r="T84" s="352"/>
      <c r="U84" s="353"/>
      <c r="V84" s="354"/>
      <c r="W84" s="355"/>
      <c r="X84" s="354">
        <v>1700</v>
      </c>
      <c r="Y84" s="355"/>
      <c r="Z84" s="356"/>
      <c r="AA84" s="353"/>
      <c r="AB84" s="354"/>
      <c r="AC84" s="355"/>
      <c r="AD84" s="354"/>
      <c r="AE84" s="355"/>
      <c r="AF84" s="354"/>
      <c r="AG84" s="355"/>
      <c r="AH84" s="354"/>
      <c r="AI84" s="355"/>
      <c r="AJ84" s="354"/>
      <c r="AK84" s="355"/>
      <c r="AL84" s="354"/>
      <c r="AM84" s="355"/>
      <c r="AN84" s="354"/>
      <c r="AO84" s="355"/>
      <c r="AP84" s="354"/>
      <c r="AQ84" s="355"/>
      <c r="AR84" s="354"/>
      <c r="AS84" s="355"/>
      <c r="AT84" s="65"/>
      <c r="AU84" s="357"/>
    </row>
    <row r="85" spans="1:47" s="345" customFormat="1" ht="30" customHeight="1" x14ac:dyDescent="0.25">
      <c r="A85" s="330">
        <v>77</v>
      </c>
      <c r="B85" s="331">
        <v>42090</v>
      </c>
      <c r="C85" s="328" t="s">
        <v>705</v>
      </c>
      <c r="D85" s="346"/>
      <c r="E85" s="347"/>
      <c r="F85" s="348"/>
      <c r="G85" s="349">
        <v>400</v>
      </c>
      <c r="H85" s="350"/>
      <c r="I85" s="351"/>
      <c r="J85" s="351"/>
      <c r="K85" s="351"/>
      <c r="L85" s="351"/>
      <c r="M85" s="351"/>
      <c r="N85" s="351"/>
      <c r="O85" s="351"/>
      <c r="P85" s="352"/>
      <c r="Q85" s="352"/>
      <c r="R85" s="352"/>
      <c r="S85" s="352"/>
      <c r="T85" s="352"/>
      <c r="U85" s="353"/>
      <c r="V85" s="354"/>
      <c r="W85" s="355"/>
      <c r="X85" s="354"/>
      <c r="Y85" s="355"/>
      <c r="Z85" s="356"/>
      <c r="AA85" s="353"/>
      <c r="AB85" s="354"/>
      <c r="AC85" s="355"/>
      <c r="AD85" s="354"/>
      <c r="AE85" s="355"/>
      <c r="AF85" s="354"/>
      <c r="AG85" s="355"/>
      <c r="AH85" s="354"/>
      <c r="AI85" s="355"/>
      <c r="AJ85" s="354"/>
      <c r="AK85" s="355"/>
      <c r="AL85" s="354"/>
      <c r="AM85" s="355"/>
      <c r="AN85" s="354"/>
      <c r="AO85" s="355"/>
      <c r="AP85" s="354"/>
      <c r="AQ85" s="355"/>
      <c r="AR85" s="354">
        <v>400</v>
      </c>
      <c r="AS85" s="355"/>
      <c r="AT85" s="65"/>
      <c r="AU85" s="357"/>
    </row>
    <row r="86" spans="1:47" s="345" customFormat="1" ht="30" customHeight="1" x14ac:dyDescent="0.25">
      <c r="A86" s="330">
        <v>78</v>
      </c>
      <c r="B86" s="331">
        <v>42101</v>
      </c>
      <c r="C86" s="328" t="s">
        <v>519</v>
      </c>
      <c r="D86" s="346"/>
      <c r="E86" s="347"/>
      <c r="F86" s="348"/>
      <c r="G86" s="349">
        <v>3</v>
      </c>
      <c r="H86" s="350"/>
      <c r="I86" s="351"/>
      <c r="J86" s="351"/>
      <c r="K86" s="351"/>
      <c r="L86" s="351"/>
      <c r="M86" s="351"/>
      <c r="N86" s="351"/>
      <c r="O86" s="351"/>
      <c r="P86" s="352"/>
      <c r="Q86" s="352"/>
      <c r="R86" s="352"/>
      <c r="S86" s="352"/>
      <c r="T86" s="352"/>
      <c r="U86" s="353"/>
      <c r="V86" s="354"/>
      <c r="W86" s="355"/>
      <c r="X86" s="354"/>
      <c r="Y86" s="355"/>
      <c r="Z86" s="356"/>
      <c r="AA86" s="353"/>
      <c r="AB86" s="354"/>
      <c r="AC86" s="355"/>
      <c r="AD86" s="354"/>
      <c r="AE86" s="355"/>
      <c r="AF86" s="354"/>
      <c r="AG86" s="355"/>
      <c r="AH86" s="354"/>
      <c r="AI86" s="355"/>
      <c r="AJ86" s="354"/>
      <c r="AK86" s="355"/>
      <c r="AL86" s="354"/>
      <c r="AM86" s="355"/>
      <c r="AN86" s="354"/>
      <c r="AO86" s="355"/>
      <c r="AP86" s="354">
        <v>3</v>
      </c>
      <c r="AQ86" s="355"/>
      <c r="AR86" s="354"/>
      <c r="AS86" s="355"/>
      <c r="AT86" s="65"/>
      <c r="AU86" s="357"/>
    </row>
    <row r="87" spans="1:47" s="345" customFormat="1" ht="30" customHeight="1" x14ac:dyDescent="0.25">
      <c r="A87" s="330">
        <v>79</v>
      </c>
      <c r="B87" s="331">
        <v>42104</v>
      </c>
      <c r="C87" s="328" t="s">
        <v>704</v>
      </c>
      <c r="D87" s="346"/>
      <c r="E87" s="347"/>
      <c r="F87" s="348"/>
      <c r="G87" s="349">
        <v>1160</v>
      </c>
      <c r="H87" s="350"/>
      <c r="I87" s="351"/>
      <c r="J87" s="351"/>
      <c r="K87" s="351"/>
      <c r="L87" s="351"/>
      <c r="M87" s="351"/>
      <c r="N87" s="351"/>
      <c r="O87" s="351"/>
      <c r="P87" s="352"/>
      <c r="Q87" s="352"/>
      <c r="R87" s="352"/>
      <c r="S87" s="352"/>
      <c r="T87" s="352"/>
      <c r="U87" s="353"/>
      <c r="V87" s="354"/>
      <c r="W87" s="355"/>
      <c r="X87" s="354"/>
      <c r="Y87" s="355"/>
      <c r="Z87" s="356"/>
      <c r="AA87" s="353"/>
      <c r="AB87" s="354"/>
      <c r="AC87" s="355"/>
      <c r="AD87" s="354"/>
      <c r="AE87" s="355"/>
      <c r="AF87" s="354"/>
      <c r="AG87" s="355"/>
      <c r="AH87" s="354"/>
      <c r="AI87" s="355"/>
      <c r="AJ87" s="354"/>
      <c r="AK87" s="355"/>
      <c r="AL87" s="354"/>
      <c r="AM87" s="355"/>
      <c r="AN87" s="354"/>
      <c r="AO87" s="355"/>
      <c r="AP87" s="354"/>
      <c r="AQ87" s="355"/>
      <c r="AR87" s="354">
        <v>1160</v>
      </c>
      <c r="AS87" s="355"/>
      <c r="AT87" s="65"/>
      <c r="AU87" s="357"/>
    </row>
    <row r="88" spans="1:47" s="345" customFormat="1" ht="30" customHeight="1" x14ac:dyDescent="0.25">
      <c r="A88" s="330">
        <v>80</v>
      </c>
      <c r="B88" s="331">
        <v>42104</v>
      </c>
      <c r="C88" s="328" t="s">
        <v>703</v>
      </c>
      <c r="D88" s="346"/>
      <c r="E88" s="347"/>
      <c r="F88" s="348"/>
      <c r="G88" s="349">
        <v>2200</v>
      </c>
      <c r="H88" s="350"/>
      <c r="I88" s="351"/>
      <c r="J88" s="351"/>
      <c r="K88" s="351"/>
      <c r="L88" s="351"/>
      <c r="M88" s="351"/>
      <c r="N88" s="351"/>
      <c r="O88" s="351"/>
      <c r="P88" s="352"/>
      <c r="Q88" s="352"/>
      <c r="R88" s="352"/>
      <c r="S88" s="352"/>
      <c r="T88" s="352"/>
      <c r="U88" s="353"/>
      <c r="V88" s="354"/>
      <c r="W88" s="355"/>
      <c r="X88" s="354"/>
      <c r="Y88" s="355"/>
      <c r="Z88" s="356"/>
      <c r="AA88" s="353"/>
      <c r="AB88" s="354"/>
      <c r="AC88" s="355"/>
      <c r="AD88" s="354"/>
      <c r="AE88" s="355"/>
      <c r="AF88" s="354"/>
      <c r="AG88" s="355"/>
      <c r="AH88" s="354"/>
      <c r="AI88" s="355"/>
      <c r="AJ88" s="354"/>
      <c r="AK88" s="355"/>
      <c r="AL88" s="354"/>
      <c r="AM88" s="355"/>
      <c r="AN88" s="354"/>
      <c r="AO88" s="355"/>
      <c r="AP88" s="354"/>
      <c r="AQ88" s="355"/>
      <c r="AR88" s="354">
        <v>2200</v>
      </c>
      <c r="AS88" s="355"/>
      <c r="AT88" s="65"/>
      <c r="AU88" s="357"/>
    </row>
    <row r="89" spans="1:47" s="345" customFormat="1" ht="30" customHeight="1" x14ac:dyDescent="0.25">
      <c r="A89" s="330">
        <v>81</v>
      </c>
      <c r="B89" s="331">
        <v>42121</v>
      </c>
      <c r="C89" s="328" t="s">
        <v>713</v>
      </c>
      <c r="D89" s="346"/>
      <c r="E89" s="347"/>
      <c r="F89" s="348"/>
      <c r="G89" s="349">
        <v>450</v>
      </c>
      <c r="H89" s="350"/>
      <c r="I89" s="351"/>
      <c r="J89" s="351"/>
      <c r="K89" s="351"/>
      <c r="L89" s="351"/>
      <c r="M89" s="351"/>
      <c r="N89" s="351"/>
      <c r="O89" s="351"/>
      <c r="P89" s="352"/>
      <c r="Q89" s="352"/>
      <c r="R89" s="352"/>
      <c r="S89" s="352"/>
      <c r="T89" s="352"/>
      <c r="U89" s="353"/>
      <c r="V89" s="354"/>
      <c r="W89" s="355"/>
      <c r="X89" s="354"/>
      <c r="Y89" s="355"/>
      <c r="Z89" s="356"/>
      <c r="AA89" s="353"/>
      <c r="AB89" s="354"/>
      <c r="AC89" s="355"/>
      <c r="AD89" s="354"/>
      <c r="AE89" s="355"/>
      <c r="AF89" s="354"/>
      <c r="AG89" s="355"/>
      <c r="AH89" s="354"/>
      <c r="AI89" s="355"/>
      <c r="AJ89" s="354"/>
      <c r="AK89" s="355"/>
      <c r="AL89" s="354"/>
      <c r="AM89" s="355"/>
      <c r="AN89" s="354"/>
      <c r="AO89" s="355"/>
      <c r="AP89" s="354"/>
      <c r="AQ89" s="355"/>
      <c r="AR89" s="354">
        <v>450</v>
      </c>
      <c r="AS89" s="355"/>
      <c r="AT89" s="65"/>
      <c r="AU89" s="357"/>
    </row>
    <row r="90" spans="1:47" s="345" customFormat="1" ht="30" customHeight="1" x14ac:dyDescent="0.25">
      <c r="A90" s="330">
        <v>82</v>
      </c>
      <c r="B90" s="331">
        <v>42121</v>
      </c>
      <c r="C90" s="328" t="s">
        <v>712</v>
      </c>
      <c r="D90" s="346"/>
      <c r="E90" s="347"/>
      <c r="F90" s="348"/>
      <c r="G90" s="349">
        <v>1175</v>
      </c>
      <c r="H90" s="350"/>
      <c r="I90" s="351"/>
      <c r="J90" s="351"/>
      <c r="K90" s="351"/>
      <c r="L90" s="351"/>
      <c r="M90" s="351"/>
      <c r="N90" s="351"/>
      <c r="O90" s="351"/>
      <c r="P90" s="352"/>
      <c r="Q90" s="352"/>
      <c r="R90" s="352">
        <v>1175</v>
      </c>
      <c r="S90" s="352"/>
      <c r="T90" s="352"/>
      <c r="U90" s="353"/>
      <c r="V90" s="354"/>
      <c r="W90" s="355"/>
      <c r="X90" s="354"/>
      <c r="Y90" s="355"/>
      <c r="Z90" s="356"/>
      <c r="AA90" s="353"/>
      <c r="AB90" s="354"/>
      <c r="AC90" s="355"/>
      <c r="AD90" s="354"/>
      <c r="AE90" s="355"/>
      <c r="AF90" s="354"/>
      <c r="AG90" s="355"/>
      <c r="AH90" s="354"/>
      <c r="AI90" s="355"/>
      <c r="AJ90" s="354"/>
      <c r="AK90" s="355"/>
      <c r="AL90" s="354"/>
      <c r="AM90" s="355"/>
      <c r="AN90" s="354"/>
      <c r="AO90" s="355"/>
      <c r="AP90" s="354"/>
      <c r="AQ90" s="355"/>
      <c r="AR90" s="354"/>
      <c r="AS90" s="355"/>
      <c r="AT90" s="65"/>
      <c r="AU90" s="357"/>
    </row>
    <row r="91" spans="1:47" s="345" customFormat="1" ht="30" customHeight="1" x14ac:dyDescent="0.25">
      <c r="A91" s="330">
        <v>83</v>
      </c>
      <c r="B91" s="331">
        <v>42121</v>
      </c>
      <c r="C91" s="328" t="s">
        <v>728</v>
      </c>
      <c r="D91" s="346"/>
      <c r="E91" s="347"/>
      <c r="F91" s="348"/>
      <c r="G91" s="349">
        <v>1390</v>
      </c>
      <c r="H91" s="350"/>
      <c r="I91" s="351"/>
      <c r="J91" s="351"/>
      <c r="K91" s="351"/>
      <c r="L91" s="351"/>
      <c r="M91" s="351"/>
      <c r="N91" s="351"/>
      <c r="O91" s="351"/>
      <c r="P91" s="352"/>
      <c r="Q91" s="352"/>
      <c r="R91" s="352">
        <v>1390</v>
      </c>
      <c r="S91" s="352"/>
      <c r="T91" s="352"/>
      <c r="U91" s="353"/>
      <c r="V91" s="354"/>
      <c r="W91" s="355"/>
      <c r="X91" s="354"/>
      <c r="Y91" s="355"/>
      <c r="Z91" s="356"/>
      <c r="AA91" s="353"/>
      <c r="AB91" s="354"/>
      <c r="AC91" s="355"/>
      <c r="AD91" s="354"/>
      <c r="AE91" s="355"/>
      <c r="AF91" s="354"/>
      <c r="AG91" s="355"/>
      <c r="AH91" s="354"/>
      <c r="AI91" s="355"/>
      <c r="AJ91" s="354"/>
      <c r="AK91" s="355"/>
      <c r="AL91" s="354"/>
      <c r="AM91" s="355"/>
      <c r="AN91" s="354"/>
      <c r="AO91" s="355"/>
      <c r="AP91" s="354"/>
      <c r="AQ91" s="355"/>
      <c r="AR91" s="354"/>
      <c r="AS91" s="355"/>
      <c r="AT91" s="65"/>
      <c r="AU91" s="357"/>
    </row>
    <row r="92" spans="1:47" s="345" customFormat="1" ht="30" customHeight="1" x14ac:dyDescent="0.25">
      <c r="A92" s="330">
        <v>84</v>
      </c>
      <c r="B92" s="331">
        <v>42121</v>
      </c>
      <c r="C92" s="328" t="s">
        <v>563</v>
      </c>
      <c r="D92" s="346"/>
      <c r="E92" s="347"/>
      <c r="F92" s="348"/>
      <c r="G92" s="349">
        <v>16938</v>
      </c>
      <c r="H92" s="350"/>
      <c r="I92" s="351"/>
      <c r="J92" s="351"/>
      <c r="K92" s="351"/>
      <c r="L92" s="351"/>
      <c r="M92" s="351"/>
      <c r="N92" s="351"/>
      <c r="O92" s="351"/>
      <c r="P92" s="352"/>
      <c r="Q92" s="352"/>
      <c r="R92" s="352"/>
      <c r="S92" s="352"/>
      <c r="T92" s="352"/>
      <c r="U92" s="353"/>
      <c r="V92" s="354">
        <v>16938</v>
      </c>
      <c r="W92" s="355"/>
      <c r="X92" s="354"/>
      <c r="Y92" s="355"/>
      <c r="Z92" s="356"/>
      <c r="AA92" s="353"/>
      <c r="AB92" s="354"/>
      <c r="AC92" s="355"/>
      <c r="AD92" s="354"/>
      <c r="AE92" s="355"/>
      <c r="AF92" s="354"/>
      <c r="AG92" s="355"/>
      <c r="AH92" s="354"/>
      <c r="AI92" s="355"/>
      <c r="AJ92" s="354"/>
      <c r="AK92" s="355"/>
      <c r="AL92" s="354"/>
      <c r="AM92" s="355"/>
      <c r="AN92" s="354"/>
      <c r="AO92" s="355"/>
      <c r="AP92" s="354"/>
      <c r="AQ92" s="355"/>
      <c r="AR92" s="354"/>
      <c r="AS92" s="355"/>
      <c r="AT92" s="65"/>
      <c r="AU92" s="357"/>
    </row>
    <row r="93" spans="1:47" s="345" customFormat="1" ht="30" customHeight="1" x14ac:dyDescent="0.25">
      <c r="A93" s="330">
        <v>85</v>
      </c>
      <c r="B93" s="331">
        <v>42122</v>
      </c>
      <c r="C93" s="328" t="s">
        <v>732</v>
      </c>
      <c r="D93" s="346"/>
      <c r="E93" s="347"/>
      <c r="F93" s="348"/>
      <c r="G93" s="349">
        <v>390</v>
      </c>
      <c r="H93" s="350"/>
      <c r="I93" s="351"/>
      <c r="J93" s="351"/>
      <c r="K93" s="351"/>
      <c r="L93" s="351"/>
      <c r="M93" s="351"/>
      <c r="N93" s="351"/>
      <c r="O93" s="351"/>
      <c r="P93" s="352"/>
      <c r="Q93" s="352"/>
      <c r="R93" s="352"/>
      <c r="S93" s="352"/>
      <c r="T93" s="352"/>
      <c r="U93" s="353"/>
      <c r="V93" s="354"/>
      <c r="W93" s="355"/>
      <c r="X93" s="354"/>
      <c r="Y93" s="355"/>
      <c r="Z93" s="356"/>
      <c r="AA93" s="353"/>
      <c r="AB93" s="354"/>
      <c r="AC93" s="355"/>
      <c r="AD93" s="354"/>
      <c r="AE93" s="355"/>
      <c r="AF93" s="354"/>
      <c r="AG93" s="355"/>
      <c r="AH93" s="354"/>
      <c r="AI93" s="355"/>
      <c r="AJ93" s="354"/>
      <c r="AK93" s="355"/>
      <c r="AL93" s="354"/>
      <c r="AM93" s="355"/>
      <c r="AN93" s="354">
        <v>390</v>
      </c>
      <c r="AO93" s="355"/>
      <c r="AP93" s="354"/>
      <c r="AQ93" s="355"/>
      <c r="AR93" s="354"/>
      <c r="AS93" s="355"/>
      <c r="AT93" s="65"/>
      <c r="AU93" s="357"/>
    </row>
    <row r="94" spans="1:47" s="345" customFormat="1" ht="30" customHeight="1" x14ac:dyDescent="0.25">
      <c r="A94" s="330">
        <v>86</v>
      </c>
      <c r="B94" s="331">
        <v>42122</v>
      </c>
      <c r="C94" s="328" t="s">
        <v>733</v>
      </c>
      <c r="D94" s="346"/>
      <c r="E94" s="347"/>
      <c r="F94" s="348"/>
      <c r="G94" s="349">
        <v>2995</v>
      </c>
      <c r="H94" s="350"/>
      <c r="I94" s="351"/>
      <c r="J94" s="351"/>
      <c r="K94" s="351"/>
      <c r="L94" s="351"/>
      <c r="M94" s="351"/>
      <c r="N94" s="351"/>
      <c r="O94" s="351"/>
      <c r="P94" s="352"/>
      <c r="Q94" s="352"/>
      <c r="R94" s="352"/>
      <c r="S94" s="352"/>
      <c r="T94" s="352"/>
      <c r="U94" s="353"/>
      <c r="V94" s="354"/>
      <c r="W94" s="355"/>
      <c r="X94" s="354">
        <f>179+70+617</f>
        <v>866</v>
      </c>
      <c r="Y94" s="355"/>
      <c r="Z94" s="356"/>
      <c r="AA94" s="353"/>
      <c r="AB94" s="354">
        <v>2129</v>
      </c>
      <c r="AC94" s="355"/>
      <c r="AD94" s="354"/>
      <c r="AE94" s="355"/>
      <c r="AF94" s="354"/>
      <c r="AG94" s="355"/>
      <c r="AH94" s="354"/>
      <c r="AI94" s="355"/>
      <c r="AJ94" s="354"/>
      <c r="AK94" s="355"/>
      <c r="AL94" s="354"/>
      <c r="AM94" s="355"/>
      <c r="AN94" s="354"/>
      <c r="AO94" s="355"/>
      <c r="AP94" s="354"/>
      <c r="AQ94" s="355"/>
      <c r="AR94" s="354"/>
      <c r="AS94" s="355"/>
      <c r="AT94" s="65"/>
      <c r="AU94" s="357"/>
    </row>
    <row r="95" spans="1:47" s="345" customFormat="1" ht="30" customHeight="1" x14ac:dyDescent="0.25">
      <c r="A95" s="330">
        <v>87</v>
      </c>
      <c r="B95" s="331">
        <v>42122</v>
      </c>
      <c r="C95" s="328" t="s">
        <v>734</v>
      </c>
      <c r="D95" s="346"/>
      <c r="E95" s="347"/>
      <c r="F95" s="348"/>
      <c r="G95" s="349">
        <v>3224</v>
      </c>
      <c r="H95" s="350"/>
      <c r="I95" s="351"/>
      <c r="J95" s="351"/>
      <c r="K95" s="351"/>
      <c r="L95" s="351"/>
      <c r="M95" s="351"/>
      <c r="N95" s="351"/>
      <c r="O95" s="351"/>
      <c r="P95" s="352"/>
      <c r="Q95" s="352"/>
      <c r="R95" s="352"/>
      <c r="S95" s="352"/>
      <c r="T95" s="352"/>
      <c r="U95" s="353"/>
      <c r="V95" s="354"/>
      <c r="W95" s="355"/>
      <c r="X95" s="354">
        <v>3224</v>
      </c>
      <c r="Y95" s="355"/>
      <c r="Z95" s="356"/>
      <c r="AA95" s="353"/>
      <c r="AB95" s="354"/>
      <c r="AC95" s="355"/>
      <c r="AD95" s="354"/>
      <c r="AE95" s="355"/>
      <c r="AF95" s="354"/>
      <c r="AG95" s="355"/>
      <c r="AH95" s="354"/>
      <c r="AI95" s="355"/>
      <c r="AJ95" s="354"/>
      <c r="AK95" s="355"/>
      <c r="AL95" s="354"/>
      <c r="AM95" s="355"/>
      <c r="AN95" s="354"/>
      <c r="AO95" s="355"/>
      <c r="AP95" s="354"/>
      <c r="AQ95" s="355"/>
      <c r="AR95" s="354"/>
      <c r="AS95" s="355"/>
      <c r="AT95" s="65"/>
      <c r="AU95" s="357"/>
    </row>
    <row r="96" spans="1:47" s="345" customFormat="1" ht="30" customHeight="1" x14ac:dyDescent="0.25">
      <c r="A96" s="330">
        <v>88</v>
      </c>
      <c r="B96" s="331">
        <v>42122</v>
      </c>
      <c r="C96" s="328" t="s">
        <v>735</v>
      </c>
      <c r="D96" s="346">
        <v>18000</v>
      </c>
      <c r="E96" s="347"/>
      <c r="F96" s="348"/>
      <c r="G96" s="349">
        <v>18000</v>
      </c>
      <c r="H96" s="350"/>
      <c r="I96" s="351"/>
      <c r="J96" s="351"/>
      <c r="K96" s="351"/>
      <c r="L96" s="351"/>
      <c r="M96" s="351"/>
      <c r="N96" s="351"/>
      <c r="O96" s="351"/>
      <c r="P96" s="352"/>
      <c r="Q96" s="352"/>
      <c r="R96" s="352"/>
      <c r="S96" s="352"/>
      <c r="T96" s="352"/>
      <c r="U96" s="353"/>
      <c r="V96" s="354"/>
      <c r="W96" s="355"/>
      <c r="X96" s="354"/>
      <c r="Y96" s="355"/>
      <c r="Z96" s="356"/>
      <c r="AA96" s="353"/>
      <c r="AB96" s="354"/>
      <c r="AC96" s="355"/>
      <c r="AD96" s="354"/>
      <c r="AE96" s="355"/>
      <c r="AF96" s="354"/>
      <c r="AG96" s="355"/>
      <c r="AH96" s="354"/>
      <c r="AI96" s="355"/>
      <c r="AJ96" s="354"/>
      <c r="AK96" s="355"/>
      <c r="AL96" s="354"/>
      <c r="AM96" s="355"/>
      <c r="AN96" s="354"/>
      <c r="AO96" s="355"/>
      <c r="AP96" s="354"/>
      <c r="AQ96" s="355"/>
      <c r="AR96" s="354"/>
      <c r="AS96" s="355"/>
      <c r="AT96" s="65"/>
      <c r="AU96" s="357"/>
    </row>
    <row r="97" spans="1:47" s="345" customFormat="1" ht="30" customHeight="1" x14ac:dyDescent="0.25">
      <c r="A97" s="330">
        <v>89</v>
      </c>
      <c r="B97" s="331">
        <v>42123</v>
      </c>
      <c r="C97" s="328" t="s">
        <v>736</v>
      </c>
      <c r="D97" s="346"/>
      <c r="E97" s="347"/>
      <c r="F97" s="348"/>
      <c r="G97" s="349">
        <v>2242</v>
      </c>
      <c r="H97" s="350"/>
      <c r="I97" s="351"/>
      <c r="J97" s="351"/>
      <c r="K97" s="351"/>
      <c r="L97" s="351"/>
      <c r="M97" s="351"/>
      <c r="N97" s="351"/>
      <c r="O97" s="351"/>
      <c r="P97" s="352"/>
      <c r="Q97" s="352"/>
      <c r="R97" s="352"/>
      <c r="S97" s="352"/>
      <c r="T97" s="352"/>
      <c r="U97" s="353"/>
      <c r="V97" s="354"/>
      <c r="W97" s="355"/>
      <c r="X97" s="354"/>
      <c r="Y97" s="355"/>
      <c r="Z97" s="356"/>
      <c r="AA97" s="353"/>
      <c r="AB97" s="354"/>
      <c r="AC97" s="355"/>
      <c r="AD97" s="354">
        <v>2242</v>
      </c>
      <c r="AE97" s="355"/>
      <c r="AF97" s="354"/>
      <c r="AG97" s="355"/>
      <c r="AH97" s="354"/>
      <c r="AI97" s="355"/>
      <c r="AJ97" s="354"/>
      <c r="AK97" s="355"/>
      <c r="AL97" s="354"/>
      <c r="AM97" s="355"/>
      <c r="AN97" s="354"/>
      <c r="AO97" s="355"/>
      <c r="AP97" s="354"/>
      <c r="AQ97" s="355"/>
      <c r="AR97" s="354"/>
      <c r="AS97" s="355"/>
      <c r="AT97" s="65"/>
      <c r="AU97" s="357"/>
    </row>
    <row r="98" spans="1:47" s="345" customFormat="1" ht="30" customHeight="1" x14ac:dyDescent="0.25">
      <c r="A98" s="330"/>
      <c r="B98" s="331"/>
      <c r="C98" s="328"/>
      <c r="D98" s="346"/>
      <c r="E98" s="347"/>
      <c r="F98" s="348"/>
      <c r="G98" s="349"/>
      <c r="H98" s="350"/>
      <c r="I98" s="351"/>
      <c r="J98" s="351"/>
      <c r="K98" s="351"/>
      <c r="L98" s="351"/>
      <c r="M98" s="351"/>
      <c r="N98" s="351"/>
      <c r="O98" s="351"/>
      <c r="P98" s="352"/>
      <c r="Q98" s="352"/>
      <c r="R98" s="352"/>
      <c r="S98" s="352"/>
      <c r="T98" s="352"/>
      <c r="U98" s="353"/>
      <c r="V98" s="354"/>
      <c r="W98" s="355"/>
      <c r="X98" s="354"/>
      <c r="Y98" s="355"/>
      <c r="Z98" s="356"/>
      <c r="AA98" s="353"/>
      <c r="AB98" s="354"/>
      <c r="AC98" s="355"/>
      <c r="AD98" s="354"/>
      <c r="AE98" s="355"/>
      <c r="AF98" s="354"/>
      <c r="AG98" s="355"/>
      <c r="AH98" s="354"/>
      <c r="AI98" s="355"/>
      <c r="AJ98" s="354"/>
      <c r="AK98" s="355"/>
      <c r="AL98" s="354"/>
      <c r="AM98" s="355"/>
      <c r="AN98" s="354"/>
      <c r="AO98" s="355"/>
      <c r="AP98" s="354"/>
      <c r="AQ98" s="355"/>
      <c r="AR98" s="354"/>
      <c r="AS98" s="355"/>
      <c r="AT98" s="65"/>
      <c r="AU98" s="357"/>
    </row>
    <row r="99" spans="1:47" s="345" customFormat="1" ht="30" customHeight="1" x14ac:dyDescent="0.25">
      <c r="A99" s="330" t="s">
        <v>468</v>
      </c>
      <c r="B99" s="331"/>
      <c r="C99" s="328"/>
      <c r="D99" s="346"/>
      <c r="E99" s="347"/>
      <c r="F99" s="348"/>
      <c r="G99" s="349"/>
      <c r="H99" s="350"/>
      <c r="I99" s="351"/>
      <c r="J99" s="351"/>
      <c r="K99" s="351"/>
      <c r="L99" s="351"/>
      <c r="M99" s="351"/>
      <c r="N99" s="351"/>
      <c r="O99" s="351"/>
      <c r="P99" s="352"/>
      <c r="Q99" s="352"/>
      <c r="R99" s="352"/>
      <c r="S99" s="352"/>
      <c r="T99" s="352"/>
      <c r="U99" s="353"/>
      <c r="V99" s="354"/>
      <c r="W99" s="355"/>
      <c r="X99" s="354"/>
      <c r="Y99" s="355"/>
      <c r="Z99" s="356"/>
      <c r="AA99" s="353"/>
      <c r="AB99" s="354"/>
      <c r="AC99" s="355"/>
      <c r="AD99" s="354"/>
      <c r="AE99" s="355"/>
      <c r="AF99" s="354"/>
      <c r="AG99" s="355"/>
      <c r="AH99" s="354"/>
      <c r="AI99" s="355"/>
      <c r="AJ99" s="354"/>
      <c r="AK99" s="355"/>
      <c r="AL99" s="354"/>
      <c r="AM99" s="355"/>
      <c r="AN99" s="354"/>
      <c r="AO99" s="355"/>
      <c r="AP99" s="354"/>
      <c r="AQ99" s="355"/>
      <c r="AR99" s="354"/>
      <c r="AS99" s="355"/>
      <c r="AT99" s="65"/>
      <c r="AU99" s="357"/>
    </row>
    <row r="100" spans="1:47" s="345" customFormat="1" ht="30" customHeight="1" x14ac:dyDescent="0.25">
      <c r="A100" s="330">
        <v>90</v>
      </c>
      <c r="B100" s="331">
        <v>42124</v>
      </c>
      <c r="C100" s="328" t="s">
        <v>719</v>
      </c>
      <c r="D100" s="346"/>
      <c r="E100" s="347"/>
      <c r="F100" s="348"/>
      <c r="G100" s="349">
        <v>1970</v>
      </c>
      <c r="H100" s="350"/>
      <c r="I100" s="351"/>
      <c r="J100" s="351"/>
      <c r="K100" s="351"/>
      <c r="L100" s="351"/>
      <c r="M100" s="351"/>
      <c r="N100" s="351"/>
      <c r="O100" s="351"/>
      <c r="P100" s="352"/>
      <c r="Q100" s="352"/>
      <c r="R100" s="352">
        <v>1970</v>
      </c>
      <c r="S100" s="352"/>
      <c r="T100" s="352"/>
      <c r="U100" s="353"/>
      <c r="V100" s="354"/>
      <c r="W100" s="355"/>
      <c r="X100" s="354"/>
      <c r="Y100" s="355"/>
      <c r="Z100" s="356"/>
      <c r="AA100" s="353"/>
      <c r="AB100" s="354"/>
      <c r="AC100" s="355"/>
      <c r="AD100" s="354"/>
      <c r="AE100" s="355"/>
      <c r="AF100" s="354"/>
      <c r="AG100" s="355"/>
      <c r="AH100" s="354"/>
      <c r="AI100" s="355"/>
      <c r="AJ100" s="354"/>
      <c r="AK100" s="355"/>
      <c r="AL100" s="354"/>
      <c r="AM100" s="355"/>
      <c r="AN100" s="354"/>
      <c r="AO100" s="355"/>
      <c r="AP100" s="354"/>
      <c r="AQ100" s="355"/>
      <c r="AR100" s="354"/>
      <c r="AS100" s="355"/>
      <c r="AT100" s="65"/>
      <c r="AU100" s="357"/>
    </row>
    <row r="101" spans="1:47" s="345" customFormat="1" ht="30" customHeight="1" x14ac:dyDescent="0.25">
      <c r="A101" s="330">
        <v>91</v>
      </c>
      <c r="B101" s="331">
        <v>42124</v>
      </c>
      <c r="C101" s="328" t="s">
        <v>720</v>
      </c>
      <c r="D101" s="346"/>
      <c r="E101" s="347"/>
      <c r="F101" s="348"/>
      <c r="G101" s="349">
        <v>13800</v>
      </c>
      <c r="H101" s="350"/>
      <c r="I101" s="351"/>
      <c r="J101" s="351"/>
      <c r="K101" s="351"/>
      <c r="L101" s="351"/>
      <c r="M101" s="351"/>
      <c r="N101" s="351"/>
      <c r="O101" s="351"/>
      <c r="P101" s="352"/>
      <c r="Q101" s="352"/>
      <c r="R101" s="352">
        <v>13800</v>
      </c>
      <c r="S101" s="352"/>
      <c r="T101" s="352"/>
      <c r="U101" s="353"/>
      <c r="V101" s="354"/>
      <c r="W101" s="355"/>
      <c r="X101" s="354"/>
      <c r="Y101" s="355"/>
      <c r="Z101" s="356"/>
      <c r="AA101" s="353"/>
      <c r="AB101" s="354"/>
      <c r="AC101" s="355"/>
      <c r="AD101" s="354"/>
      <c r="AE101" s="355"/>
      <c r="AF101" s="354"/>
      <c r="AG101" s="355"/>
      <c r="AH101" s="354"/>
      <c r="AI101" s="355"/>
      <c r="AJ101" s="354"/>
      <c r="AK101" s="355"/>
      <c r="AL101" s="354"/>
      <c r="AM101" s="355"/>
      <c r="AN101" s="354"/>
      <c r="AO101" s="355"/>
      <c r="AP101" s="354"/>
      <c r="AQ101" s="355"/>
      <c r="AR101" s="354"/>
      <c r="AS101" s="355"/>
      <c r="AT101" s="65"/>
      <c r="AU101" s="357"/>
    </row>
    <row r="102" spans="1:47" s="345" customFormat="1" ht="30" customHeight="1" x14ac:dyDescent="0.25">
      <c r="A102" s="330">
        <v>92</v>
      </c>
      <c r="B102" s="331">
        <v>42124</v>
      </c>
      <c r="C102" s="328" t="s">
        <v>721</v>
      </c>
      <c r="D102" s="346"/>
      <c r="E102" s="347"/>
      <c r="F102" s="348"/>
      <c r="G102" s="349">
        <v>3000</v>
      </c>
      <c r="H102" s="350"/>
      <c r="I102" s="351"/>
      <c r="J102" s="351"/>
      <c r="K102" s="351"/>
      <c r="L102" s="351"/>
      <c r="M102" s="351"/>
      <c r="N102" s="351"/>
      <c r="O102" s="351"/>
      <c r="P102" s="352"/>
      <c r="Q102" s="352"/>
      <c r="R102" s="352"/>
      <c r="S102" s="352"/>
      <c r="T102" s="352">
        <v>3000</v>
      </c>
      <c r="U102" s="353"/>
      <c r="V102" s="354"/>
      <c r="W102" s="355"/>
      <c r="X102" s="354"/>
      <c r="Y102" s="355"/>
      <c r="Z102" s="356"/>
      <c r="AA102" s="353"/>
      <c r="AB102" s="354"/>
      <c r="AC102" s="355"/>
      <c r="AD102" s="354"/>
      <c r="AE102" s="355"/>
      <c r="AF102" s="354"/>
      <c r="AG102" s="355"/>
      <c r="AH102" s="354"/>
      <c r="AI102" s="355"/>
      <c r="AJ102" s="354"/>
      <c r="AK102" s="355"/>
      <c r="AL102" s="354"/>
      <c r="AM102" s="355"/>
      <c r="AN102" s="354"/>
      <c r="AO102" s="355"/>
      <c r="AP102" s="354"/>
      <c r="AQ102" s="355"/>
      <c r="AR102" s="354"/>
      <c r="AS102" s="355"/>
      <c r="AT102" s="65"/>
      <c r="AU102" s="357"/>
    </row>
    <row r="103" spans="1:47" s="345" customFormat="1" ht="30" customHeight="1" x14ac:dyDescent="0.25">
      <c r="A103" s="330">
        <v>93</v>
      </c>
      <c r="B103" s="331">
        <v>42124</v>
      </c>
      <c r="C103" s="328" t="s">
        <v>743</v>
      </c>
      <c r="D103" s="346"/>
      <c r="E103" s="347"/>
      <c r="F103" s="348"/>
      <c r="G103" s="349">
        <v>870</v>
      </c>
      <c r="H103" s="350"/>
      <c r="I103" s="351"/>
      <c r="J103" s="351"/>
      <c r="K103" s="351"/>
      <c r="L103" s="351"/>
      <c r="M103" s="351"/>
      <c r="N103" s="351"/>
      <c r="O103" s="351"/>
      <c r="P103" s="352"/>
      <c r="Q103" s="352"/>
      <c r="R103" s="352"/>
      <c r="S103" s="352"/>
      <c r="T103" s="352"/>
      <c r="U103" s="353"/>
      <c r="V103" s="354"/>
      <c r="W103" s="355"/>
      <c r="X103" s="354"/>
      <c r="Y103" s="355"/>
      <c r="Z103" s="356"/>
      <c r="AA103" s="353"/>
      <c r="AB103" s="354">
        <v>870</v>
      </c>
      <c r="AC103" s="355"/>
      <c r="AD103" s="354"/>
      <c r="AE103" s="355"/>
      <c r="AF103" s="354"/>
      <c r="AG103" s="355"/>
      <c r="AH103" s="354"/>
      <c r="AI103" s="355"/>
      <c r="AJ103" s="354"/>
      <c r="AK103" s="355"/>
      <c r="AL103" s="354"/>
      <c r="AM103" s="355"/>
      <c r="AN103" s="354"/>
      <c r="AO103" s="355"/>
      <c r="AP103" s="354"/>
      <c r="AQ103" s="355"/>
      <c r="AR103" s="354"/>
      <c r="AS103" s="355"/>
      <c r="AT103" s="65"/>
      <c r="AU103" s="357"/>
    </row>
    <row r="104" spans="1:47" s="345" customFormat="1" ht="30" customHeight="1" x14ac:dyDescent="0.25">
      <c r="A104" s="330"/>
      <c r="B104" s="327"/>
      <c r="C104" s="328"/>
      <c r="D104" s="346"/>
      <c r="E104" s="347"/>
      <c r="F104" s="348"/>
      <c r="G104" s="349"/>
      <c r="H104" s="350"/>
      <c r="I104" s="351"/>
      <c r="J104" s="351"/>
      <c r="K104" s="351"/>
      <c r="L104" s="351"/>
      <c r="M104" s="351"/>
      <c r="N104" s="351"/>
      <c r="O104" s="351"/>
      <c r="P104" s="352"/>
      <c r="Q104" s="352"/>
      <c r="R104" s="352"/>
      <c r="S104" s="352"/>
      <c r="T104" s="352"/>
      <c r="U104" s="353"/>
      <c r="V104" s="354"/>
      <c r="W104" s="355"/>
      <c r="X104" s="354"/>
      <c r="Y104" s="355"/>
      <c r="Z104" s="356"/>
      <c r="AA104" s="353"/>
      <c r="AB104" s="354"/>
      <c r="AC104" s="355"/>
      <c r="AD104" s="354"/>
      <c r="AE104" s="355"/>
      <c r="AF104" s="354"/>
      <c r="AG104" s="355"/>
      <c r="AH104" s="354"/>
      <c r="AI104" s="355"/>
      <c r="AJ104" s="354"/>
      <c r="AK104" s="355"/>
      <c r="AL104" s="354"/>
      <c r="AM104" s="355"/>
      <c r="AN104" s="354"/>
      <c r="AO104" s="355"/>
      <c r="AP104" s="354"/>
      <c r="AQ104" s="355"/>
      <c r="AR104" s="354"/>
      <c r="AS104" s="355"/>
      <c r="AT104" s="65">
        <f t="shared" ref="AT104" si="0">G104-P104-R104-T104-V104-X104-Z104-AB104-AF104-AH104-AJ104-AL104-AN104-AP104-AR104-AD104</f>
        <v>0</v>
      </c>
      <c r="AU104" s="357">
        <f t="shared" ref="AU104" si="1">F104-I104-K104-O104-M104</f>
        <v>0</v>
      </c>
    </row>
    <row r="105" spans="1:47" s="345" customFormat="1" ht="30" customHeight="1" thickBot="1" x14ac:dyDescent="0.3">
      <c r="A105" s="330" t="s">
        <v>35</v>
      </c>
      <c r="B105" s="327"/>
      <c r="C105" s="328"/>
      <c r="D105" s="360">
        <f>SUM(D9:D98)</f>
        <v>18000</v>
      </c>
      <c r="E105" s="361">
        <f t="shared" ref="E105:AS105" si="2">SUM(E9:E104)</f>
        <v>0</v>
      </c>
      <c r="F105" s="362">
        <f t="shared" si="2"/>
        <v>184468.6</v>
      </c>
      <c r="G105" s="363">
        <f t="shared" si="2"/>
        <v>194289.78</v>
      </c>
      <c r="H105" s="350">
        <f t="shared" si="2"/>
        <v>0</v>
      </c>
      <c r="I105" s="351">
        <f t="shared" si="2"/>
        <v>174250.6</v>
      </c>
      <c r="J105" s="351">
        <f t="shared" si="2"/>
        <v>0</v>
      </c>
      <c r="K105" s="351">
        <f t="shared" si="2"/>
        <v>7618</v>
      </c>
      <c r="L105" s="351">
        <f t="shared" si="2"/>
        <v>0</v>
      </c>
      <c r="M105" s="351">
        <f t="shared" si="2"/>
        <v>100</v>
      </c>
      <c r="N105" s="351">
        <f t="shared" si="2"/>
        <v>0</v>
      </c>
      <c r="O105" s="351">
        <f t="shared" si="2"/>
        <v>0</v>
      </c>
      <c r="P105" s="352">
        <f t="shared" si="2"/>
        <v>0</v>
      </c>
      <c r="Q105" s="352">
        <f t="shared" si="2"/>
        <v>0</v>
      </c>
      <c r="R105" s="352">
        <f t="shared" si="2"/>
        <v>18404.900000000001</v>
      </c>
      <c r="S105" s="352">
        <f t="shared" si="2"/>
        <v>0</v>
      </c>
      <c r="T105" s="352">
        <f t="shared" si="2"/>
        <v>8173</v>
      </c>
      <c r="U105" s="353">
        <f t="shared" si="2"/>
        <v>0</v>
      </c>
      <c r="V105" s="364">
        <f t="shared" si="2"/>
        <v>16938</v>
      </c>
      <c r="W105" s="365">
        <f t="shared" si="2"/>
        <v>0</v>
      </c>
      <c r="X105" s="364">
        <f t="shared" si="2"/>
        <v>26758.48</v>
      </c>
      <c r="Y105" s="365">
        <f t="shared" si="2"/>
        <v>0</v>
      </c>
      <c r="Z105" s="356">
        <f t="shared" si="2"/>
        <v>30639</v>
      </c>
      <c r="AA105" s="353">
        <f t="shared" si="2"/>
        <v>0</v>
      </c>
      <c r="AB105" s="364">
        <f t="shared" si="2"/>
        <v>3600</v>
      </c>
      <c r="AC105" s="365">
        <f t="shared" si="2"/>
        <v>0</v>
      </c>
      <c r="AD105" s="364">
        <f t="shared" si="2"/>
        <v>22984</v>
      </c>
      <c r="AE105" s="365">
        <f t="shared" si="2"/>
        <v>0</v>
      </c>
      <c r="AF105" s="364">
        <f t="shared" si="2"/>
        <v>9770</v>
      </c>
      <c r="AG105" s="365">
        <f t="shared" si="2"/>
        <v>0</v>
      </c>
      <c r="AH105" s="364">
        <f t="shared" si="2"/>
        <v>9400</v>
      </c>
      <c r="AI105" s="365">
        <f t="shared" si="2"/>
        <v>0</v>
      </c>
      <c r="AJ105" s="364">
        <f t="shared" si="2"/>
        <v>782.9</v>
      </c>
      <c r="AK105" s="365">
        <f t="shared" si="2"/>
        <v>0</v>
      </c>
      <c r="AL105" s="364">
        <f t="shared" si="2"/>
        <v>0</v>
      </c>
      <c r="AM105" s="365">
        <f t="shared" si="2"/>
        <v>0</v>
      </c>
      <c r="AN105" s="364">
        <f t="shared" si="2"/>
        <v>2418</v>
      </c>
      <c r="AO105" s="365">
        <f t="shared" si="2"/>
        <v>0</v>
      </c>
      <c r="AP105" s="364">
        <f t="shared" si="2"/>
        <v>469.5</v>
      </c>
      <c r="AQ105" s="365">
        <f t="shared" si="2"/>
        <v>0</v>
      </c>
      <c r="AR105" s="364">
        <f t="shared" si="2"/>
        <v>9952</v>
      </c>
      <c r="AS105" s="365">
        <f t="shared" si="2"/>
        <v>0</v>
      </c>
      <c r="AT105" s="7"/>
    </row>
    <row r="106" spans="1:47" ht="21.95" customHeight="1" x14ac:dyDescent="0.25">
      <c r="G106" s="20">
        <f>F8+F105-G105</f>
        <v>63540.560000000027</v>
      </c>
      <c r="H106" s="20">
        <f>I105+K105+O105+M105</f>
        <v>181968.6</v>
      </c>
      <c r="P106" s="20">
        <f>P105-Q105+R105-S105+T105-U105+V105-W105+X105-Y105+Z105-AA105+AB105-AC105+AJ105-AK105+AL105-AM105+AP105-AQ105+AR105-AS105+AF105-AG105+AH105-AI105+AN105-AO105+AD105</f>
        <v>160289.78</v>
      </c>
      <c r="X106" s="20">
        <f>X14+X22+X52+X64+X66+X76+X84+X94</f>
        <v>5716.48</v>
      </c>
    </row>
    <row r="107" spans="1:47" ht="21.95" customHeight="1" x14ac:dyDescent="0.25">
      <c r="E107" t="s">
        <v>363</v>
      </c>
      <c r="G107" s="309">
        <v>83180.56</v>
      </c>
      <c r="H107" s="20">
        <f>H106-P106</f>
        <v>21678.820000000007</v>
      </c>
      <c r="X107" s="20">
        <f>X105-X106</f>
        <v>21042</v>
      </c>
    </row>
    <row r="108" spans="1:47" ht="21.95" customHeight="1" x14ac:dyDescent="0.25">
      <c r="E108" t="s">
        <v>390</v>
      </c>
      <c r="G108" s="20">
        <f>G102+G101+G100+G103</f>
        <v>19640</v>
      </c>
      <c r="H108" s="20"/>
      <c r="X108" t="s">
        <v>739</v>
      </c>
    </row>
    <row r="109" spans="1:47" ht="21.95" customHeight="1" x14ac:dyDescent="0.25">
      <c r="G109" s="20">
        <f>G107-G108</f>
        <v>63540.56</v>
      </c>
      <c r="H109" s="309">
        <f>F8+V9+AR10+H107</f>
        <v>81540.560000000012</v>
      </c>
      <c r="I109" s="2"/>
      <c r="X109" t="s">
        <v>714</v>
      </c>
    </row>
    <row r="110" spans="1:47" ht="21.95" customHeight="1" x14ac:dyDescent="0.25">
      <c r="G110" s="310">
        <f>G106-G109</f>
        <v>0</v>
      </c>
      <c r="H110" s="20">
        <f>H109-G107</f>
        <v>-1639.9999999999854</v>
      </c>
      <c r="I110" s="2" t="s">
        <v>747</v>
      </c>
      <c r="X110" t="s">
        <v>715</v>
      </c>
    </row>
    <row r="111" spans="1:47" ht="21.95" customHeight="1" x14ac:dyDescent="0.25">
      <c r="G111" s="20">
        <f>G109+18000</f>
        <v>81540.56</v>
      </c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</row>
    <row r="112" spans="1:47" ht="21.95" customHeight="1" x14ac:dyDescent="0.25">
      <c r="G112" s="20"/>
      <c r="H112" s="20"/>
      <c r="I112" s="2"/>
    </row>
    <row r="113" spans="7:10" ht="21.95" customHeight="1" x14ac:dyDescent="0.25">
      <c r="G113" s="20"/>
      <c r="H113" s="20"/>
      <c r="I113" s="2"/>
    </row>
    <row r="114" spans="7:10" ht="21.95" customHeight="1" x14ac:dyDescent="0.25">
      <c r="G114" s="20"/>
      <c r="H114" s="20"/>
    </row>
    <row r="115" spans="7:10" ht="21.95" customHeight="1" x14ac:dyDescent="0.25">
      <c r="G115" s="20"/>
      <c r="H115" s="20"/>
      <c r="I115" s="21"/>
    </row>
    <row r="116" spans="7:10" x14ac:dyDescent="0.25">
      <c r="G116" s="20"/>
      <c r="H116" s="20"/>
      <c r="I116" s="21"/>
    </row>
    <row r="117" spans="7:10" x14ac:dyDescent="0.25">
      <c r="G117" s="20"/>
      <c r="H117" s="20"/>
      <c r="I117" s="21"/>
    </row>
    <row r="118" spans="7:10" x14ac:dyDescent="0.25">
      <c r="G118" s="20"/>
      <c r="H118" s="20"/>
      <c r="I118" s="21"/>
    </row>
    <row r="119" spans="7:10" x14ac:dyDescent="0.25">
      <c r="G119" s="20"/>
      <c r="H119" s="20"/>
      <c r="I119" s="21"/>
    </row>
    <row r="120" spans="7:10" x14ac:dyDescent="0.25">
      <c r="G120" s="20"/>
      <c r="H120" s="20"/>
      <c r="I120" s="21"/>
    </row>
    <row r="121" spans="7:10" x14ac:dyDescent="0.25">
      <c r="G121" s="20"/>
      <c r="H121" s="20"/>
      <c r="I121" s="186"/>
      <c r="J121" s="185"/>
    </row>
  </sheetData>
  <mergeCells count="21">
    <mergeCell ref="AN6:AO6"/>
    <mergeCell ref="AP6:AQ6"/>
    <mergeCell ref="AR6:AS6"/>
    <mergeCell ref="AB6:AC6"/>
    <mergeCell ref="AD6:AE6"/>
    <mergeCell ref="AF6:AG6"/>
    <mergeCell ref="AH6:AI6"/>
    <mergeCell ref="AJ6:AK6"/>
    <mergeCell ref="AL6:AM6"/>
    <mergeCell ref="Z6:AA6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X6:Y6"/>
  </mergeCells>
  <pageMargins left="0" right="0" top="0.55118110236220474" bottom="0.55118110236220474" header="0.31496062992125984" footer="0.31496062992125984"/>
  <pageSetup scale="47" fitToHeight="5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/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471</v>
      </c>
    </row>
    <row r="2" spans="1:4" ht="30.75" x14ac:dyDescent="0.3">
      <c r="A2" s="24" t="s">
        <v>472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41453</v>
      </c>
    </row>
    <row r="8" spans="1:4" x14ac:dyDescent="0.25">
      <c r="A8" s="206" t="s">
        <v>48</v>
      </c>
      <c r="B8" s="207" t="s">
        <v>473</v>
      </c>
    </row>
    <row r="10" spans="1:4" x14ac:dyDescent="0.25">
      <c r="A10" t="s">
        <v>42</v>
      </c>
      <c r="B10" s="26">
        <f>32*310</f>
        <v>9920</v>
      </c>
    </row>
    <row r="11" spans="1:4" x14ac:dyDescent="0.25">
      <c r="A11" t="s">
        <v>43</v>
      </c>
      <c r="B11" s="26">
        <f>-0.35*B10</f>
        <v>-3472</v>
      </c>
    </row>
    <row r="12" spans="1:4" x14ac:dyDescent="0.25">
      <c r="A12" s="23" t="s">
        <v>44</v>
      </c>
      <c r="B12" s="27">
        <f>B10+B11</f>
        <v>6448</v>
      </c>
    </row>
    <row r="13" spans="1:4" x14ac:dyDescent="0.25">
      <c r="B13" s="26"/>
    </row>
    <row r="14" spans="1:4" x14ac:dyDescent="0.25">
      <c r="A14" s="23"/>
      <c r="B14" s="27"/>
    </row>
    <row r="15" spans="1:4" x14ac:dyDescent="0.25">
      <c r="A15" s="208" t="s">
        <v>372</v>
      </c>
      <c r="B15" s="209">
        <f>B12</f>
        <v>6448</v>
      </c>
    </row>
    <row r="16" spans="1:4" x14ac:dyDescent="0.25">
      <c r="B16" s="26"/>
    </row>
    <row r="17" spans="1:2" x14ac:dyDescent="0.25">
      <c r="A17" t="s">
        <v>45</v>
      </c>
      <c r="B17" s="26"/>
    </row>
    <row r="18" spans="1:2" x14ac:dyDescent="0.25">
      <c r="A18" t="s">
        <v>46</v>
      </c>
      <c r="B18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/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471</v>
      </c>
    </row>
    <row r="2" spans="1:4" ht="30.75" x14ac:dyDescent="0.3">
      <c r="A2" s="24" t="s">
        <v>517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41526</v>
      </c>
    </row>
    <row r="8" spans="1:4" x14ac:dyDescent="0.25">
      <c r="A8" s="206" t="s">
        <v>48</v>
      </c>
      <c r="B8" s="207" t="s">
        <v>518</v>
      </c>
    </row>
    <row r="10" spans="1:4" x14ac:dyDescent="0.25">
      <c r="A10" t="s">
        <v>42</v>
      </c>
      <c r="B10" s="26">
        <f>26*310</f>
        <v>8060</v>
      </c>
    </row>
    <row r="11" spans="1:4" x14ac:dyDescent="0.25">
      <c r="A11" t="s">
        <v>43</v>
      </c>
      <c r="B11" s="26">
        <f>-0.35*B10</f>
        <v>-2821</v>
      </c>
    </row>
    <row r="12" spans="1:4" x14ac:dyDescent="0.25">
      <c r="A12" s="23" t="s">
        <v>44</v>
      </c>
      <c r="B12" s="27">
        <f>B10+B11</f>
        <v>5239</v>
      </c>
    </row>
    <row r="13" spans="1:4" x14ac:dyDescent="0.25">
      <c r="B13" s="26"/>
    </row>
    <row r="14" spans="1:4" x14ac:dyDescent="0.25">
      <c r="A14" s="23"/>
      <c r="B14" s="27"/>
    </row>
    <row r="15" spans="1:4" x14ac:dyDescent="0.25">
      <c r="A15" s="208" t="s">
        <v>372</v>
      </c>
      <c r="B15" s="209">
        <f>B12</f>
        <v>5239</v>
      </c>
    </row>
    <row r="16" spans="1:4" x14ac:dyDescent="0.25">
      <c r="B16" s="26"/>
    </row>
    <row r="17" spans="1:2" x14ac:dyDescent="0.25">
      <c r="A17" t="s">
        <v>45</v>
      </c>
      <c r="B17" s="26"/>
    </row>
    <row r="18" spans="1:2" x14ac:dyDescent="0.25">
      <c r="A18" t="s">
        <v>46</v>
      </c>
      <c r="B18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/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557</v>
      </c>
    </row>
    <row r="2" spans="1:4" ht="30.75" x14ac:dyDescent="0.3">
      <c r="A2" s="24" t="s">
        <v>523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41583</v>
      </c>
    </row>
    <row r="8" spans="1:4" x14ac:dyDescent="0.25">
      <c r="A8" s="206" t="s">
        <v>48</v>
      </c>
      <c r="B8" s="207" t="s">
        <v>524</v>
      </c>
    </row>
    <row r="10" spans="1:4" x14ac:dyDescent="0.25">
      <c r="A10" t="s">
        <v>525</v>
      </c>
      <c r="B10" s="26">
        <f>12*310</f>
        <v>3720</v>
      </c>
    </row>
    <row r="11" spans="1:4" x14ac:dyDescent="0.25">
      <c r="A11" t="s">
        <v>43</v>
      </c>
      <c r="B11" s="26">
        <f>-0.35*B10</f>
        <v>-1302</v>
      </c>
    </row>
    <row r="12" spans="1:4" x14ac:dyDescent="0.25">
      <c r="A12" s="23" t="s">
        <v>44</v>
      </c>
      <c r="B12" s="27">
        <f>B10+B11</f>
        <v>2418</v>
      </c>
    </row>
    <row r="13" spans="1:4" x14ac:dyDescent="0.25">
      <c r="B13" s="26"/>
    </row>
    <row r="14" spans="1:4" x14ac:dyDescent="0.25">
      <c r="A14" t="s">
        <v>522</v>
      </c>
      <c r="B14" s="26">
        <v>3077</v>
      </c>
    </row>
    <row r="15" spans="1:4" x14ac:dyDescent="0.25">
      <c r="A15" t="s">
        <v>43</v>
      </c>
      <c r="B15" s="26">
        <f>-0.35*B14</f>
        <v>-1076.9499999999998</v>
      </c>
    </row>
    <row r="16" spans="1:4" x14ac:dyDescent="0.25">
      <c r="A16" s="23" t="s">
        <v>44</v>
      </c>
      <c r="B16" s="27">
        <f>B14+B15</f>
        <v>2000.0500000000002</v>
      </c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4418.05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8" sqref="B18"/>
    </sheetView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471</v>
      </c>
    </row>
    <row r="2" spans="1:4" ht="30.75" x14ac:dyDescent="0.3">
      <c r="A2" s="24" t="s">
        <v>554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41699</v>
      </c>
    </row>
    <row r="8" spans="1:4" x14ac:dyDescent="0.25">
      <c r="A8" s="206" t="s">
        <v>48</v>
      </c>
      <c r="B8" s="207" t="s">
        <v>555</v>
      </c>
    </row>
    <row r="10" spans="1:4" x14ac:dyDescent="0.25">
      <c r="A10" t="s">
        <v>556</v>
      </c>
      <c r="B10" s="26">
        <f>16*310</f>
        <v>4960</v>
      </c>
    </row>
    <row r="11" spans="1:4" x14ac:dyDescent="0.25">
      <c r="A11" t="s">
        <v>43</v>
      </c>
      <c r="B11" s="26">
        <f>-0.35*B10</f>
        <v>-1736</v>
      </c>
    </row>
    <row r="12" spans="1:4" x14ac:dyDescent="0.25">
      <c r="A12" s="23" t="s">
        <v>44</v>
      </c>
      <c r="B12" s="27">
        <f>B10+B11</f>
        <v>3224</v>
      </c>
    </row>
    <row r="13" spans="1:4" x14ac:dyDescent="0.25">
      <c r="B13" s="26"/>
    </row>
    <row r="14" spans="1:4" hidden="1" x14ac:dyDescent="0.25">
      <c r="A14" t="s">
        <v>522</v>
      </c>
      <c r="B14" s="26">
        <v>0</v>
      </c>
    </row>
    <row r="15" spans="1:4" hidden="1" x14ac:dyDescent="0.25">
      <c r="A15" t="s">
        <v>43</v>
      </c>
      <c r="B15" s="26">
        <f>-0.35*B14</f>
        <v>0</v>
      </c>
    </row>
    <row r="16" spans="1:4" hidden="1" x14ac:dyDescent="0.25">
      <c r="A16" s="23" t="s">
        <v>44</v>
      </c>
      <c r="B16" s="27">
        <f>B14+B15</f>
        <v>0</v>
      </c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3224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0" sqref="B10"/>
    </sheetView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613</v>
      </c>
    </row>
    <row r="2" spans="1:4" ht="30.75" x14ac:dyDescent="0.3">
      <c r="A2" s="24" t="s">
        <v>614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41820</v>
      </c>
    </row>
    <row r="8" spans="1:4" x14ac:dyDescent="0.25">
      <c r="A8" s="206" t="s">
        <v>48</v>
      </c>
      <c r="B8" s="207" t="s">
        <v>615</v>
      </c>
    </row>
    <row r="10" spans="1:4" x14ac:dyDescent="0.25">
      <c r="A10" t="s">
        <v>616</v>
      </c>
      <c r="B10" s="26">
        <f>40*310</f>
        <v>12400</v>
      </c>
    </row>
    <row r="11" spans="1:4" x14ac:dyDescent="0.25">
      <c r="A11" t="s">
        <v>43</v>
      </c>
      <c r="B11" s="26">
        <f>-0.35*B10</f>
        <v>-4340</v>
      </c>
    </row>
    <row r="12" spans="1:4" x14ac:dyDescent="0.25">
      <c r="A12" s="23" t="s">
        <v>44</v>
      </c>
      <c r="B12" s="27">
        <f>B10+B11</f>
        <v>8060</v>
      </c>
    </row>
    <row r="13" spans="1:4" x14ac:dyDescent="0.25">
      <c r="B13" s="26"/>
    </row>
    <row r="14" spans="1:4" hidden="1" x14ac:dyDescent="0.25">
      <c r="A14" t="s">
        <v>522</v>
      </c>
      <c r="B14" s="26">
        <v>0</v>
      </c>
    </row>
    <row r="15" spans="1:4" hidden="1" x14ac:dyDescent="0.25">
      <c r="A15" t="s">
        <v>43</v>
      </c>
      <c r="B15" s="26">
        <f>-0.35*B14</f>
        <v>0</v>
      </c>
    </row>
    <row r="16" spans="1:4" hidden="1" x14ac:dyDescent="0.25">
      <c r="A16" s="23" t="s">
        <v>44</v>
      </c>
      <c r="B16" s="27">
        <f>B14+B15</f>
        <v>0</v>
      </c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8060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28" sqref="B28:B29"/>
    </sheetView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613</v>
      </c>
    </row>
    <row r="2" spans="1:4" ht="30.75" x14ac:dyDescent="0.3">
      <c r="A2" s="24" t="s">
        <v>666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41882</v>
      </c>
    </row>
    <row r="8" spans="1:4" x14ac:dyDescent="0.25">
      <c r="A8" s="206" t="s">
        <v>48</v>
      </c>
      <c r="B8" s="207" t="s">
        <v>667</v>
      </c>
    </row>
    <row r="10" spans="1:4" x14ac:dyDescent="0.25">
      <c r="A10" t="s">
        <v>668</v>
      </c>
      <c r="B10" s="26">
        <f>25.5*310</f>
        <v>7905</v>
      </c>
    </row>
    <row r="11" spans="1:4" x14ac:dyDescent="0.25">
      <c r="A11" t="s">
        <v>43</v>
      </c>
      <c r="B11" s="26">
        <f>-0.35*B10</f>
        <v>-2766.75</v>
      </c>
    </row>
    <row r="12" spans="1:4" x14ac:dyDescent="0.25">
      <c r="A12" s="23" t="s">
        <v>44</v>
      </c>
      <c r="B12" s="27">
        <f>B10+B11</f>
        <v>5138.25</v>
      </c>
    </row>
    <row r="13" spans="1:4" x14ac:dyDescent="0.25">
      <c r="B13" s="26"/>
    </row>
    <row r="14" spans="1:4" hidden="1" x14ac:dyDescent="0.25">
      <c r="A14" t="s">
        <v>522</v>
      </c>
      <c r="B14" s="26">
        <v>0</v>
      </c>
    </row>
    <row r="15" spans="1:4" hidden="1" x14ac:dyDescent="0.25">
      <c r="A15" t="s">
        <v>43</v>
      </c>
      <c r="B15" s="26">
        <f>-0.35*B14</f>
        <v>0</v>
      </c>
    </row>
    <row r="16" spans="1:4" hidden="1" x14ac:dyDescent="0.25">
      <c r="A16" s="23" t="s">
        <v>44</v>
      </c>
      <c r="B16" s="27">
        <f>B14+B15</f>
        <v>0</v>
      </c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5138.25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8" sqref="B18"/>
    </sheetView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613</v>
      </c>
    </row>
    <row r="2" spans="1:4" ht="30.75" x14ac:dyDescent="0.3">
      <c r="A2" s="24" t="s">
        <v>682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41948</v>
      </c>
    </row>
    <row r="8" spans="1:4" x14ac:dyDescent="0.25">
      <c r="A8" s="206" t="s">
        <v>48</v>
      </c>
      <c r="B8" s="207" t="s">
        <v>683</v>
      </c>
    </row>
    <row r="10" spans="1:4" x14ac:dyDescent="0.25">
      <c r="A10" t="s">
        <v>684</v>
      </c>
      <c r="B10" s="26">
        <f>13*310</f>
        <v>4030</v>
      </c>
    </row>
    <row r="11" spans="1:4" x14ac:dyDescent="0.25">
      <c r="A11" t="s">
        <v>43</v>
      </c>
      <c r="B11" s="26">
        <f>-0.35*B10</f>
        <v>-1410.5</v>
      </c>
    </row>
    <row r="12" spans="1:4" x14ac:dyDescent="0.25">
      <c r="A12" s="23" t="s">
        <v>44</v>
      </c>
      <c r="B12" s="27">
        <f>B10+B11</f>
        <v>2619.5</v>
      </c>
    </row>
    <row r="13" spans="1:4" x14ac:dyDescent="0.25">
      <c r="B13" s="26"/>
    </row>
    <row r="14" spans="1:4" x14ac:dyDescent="0.25">
      <c r="A14" t="s">
        <v>522</v>
      </c>
      <c r="B14" s="26">
        <v>3077</v>
      </c>
    </row>
    <row r="15" spans="1:4" x14ac:dyDescent="0.25">
      <c r="A15" t="s">
        <v>43</v>
      </c>
      <c r="B15" s="26">
        <f>-0.35*B14</f>
        <v>-1076.9499999999998</v>
      </c>
    </row>
    <row r="16" spans="1:4" x14ac:dyDescent="0.25">
      <c r="A16" s="23" t="s">
        <v>44</v>
      </c>
      <c r="B16" s="27">
        <f>B14+B15</f>
        <v>2000.0500000000002</v>
      </c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4619.55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B10" sqref="B10"/>
    </sheetView>
  </sheetViews>
  <sheetFormatPr defaultRowHeight="15" x14ac:dyDescent="0.25"/>
  <cols>
    <col min="1" max="1" width="27.140625" customWidth="1"/>
    <col min="2" max="2" width="31" style="25" customWidth="1"/>
    <col min="4" max="4" width="10.42578125" bestFit="1" customWidth="1"/>
  </cols>
  <sheetData>
    <row r="1" spans="1:4" x14ac:dyDescent="0.25">
      <c r="A1" t="s">
        <v>613</v>
      </c>
    </row>
    <row r="2" spans="1:4" ht="30.75" x14ac:dyDescent="0.3">
      <c r="A2" s="24" t="s">
        <v>723</v>
      </c>
      <c r="B2" s="205" t="s">
        <v>47</v>
      </c>
      <c r="D2" s="22"/>
    </row>
    <row r="4" spans="1:4" x14ac:dyDescent="0.25">
      <c r="A4" t="s">
        <v>39</v>
      </c>
      <c r="B4" s="25" t="s">
        <v>40</v>
      </c>
    </row>
    <row r="5" spans="1:4" x14ac:dyDescent="0.25">
      <c r="A5" t="s">
        <v>41</v>
      </c>
      <c r="B5" s="25" t="s">
        <v>364</v>
      </c>
    </row>
    <row r="6" spans="1:4" x14ac:dyDescent="0.25">
      <c r="A6" t="s">
        <v>54</v>
      </c>
      <c r="B6" s="28">
        <v>42122</v>
      </c>
    </row>
    <row r="8" spans="1:4" x14ac:dyDescent="0.25">
      <c r="A8" s="206" t="s">
        <v>48</v>
      </c>
      <c r="B8" s="374" t="s">
        <v>724</v>
      </c>
    </row>
    <row r="10" spans="1:4" x14ac:dyDescent="0.25">
      <c r="A10" t="s">
        <v>556</v>
      </c>
      <c r="B10" s="26">
        <f>16*310</f>
        <v>4960</v>
      </c>
    </row>
    <row r="11" spans="1:4" x14ac:dyDescent="0.25">
      <c r="A11" t="s">
        <v>43</v>
      </c>
      <c r="B11" s="26">
        <f>-0.35*B10</f>
        <v>-1736</v>
      </c>
    </row>
    <row r="12" spans="1:4" x14ac:dyDescent="0.25">
      <c r="A12" s="23" t="s">
        <v>44</v>
      </c>
      <c r="B12" s="27">
        <f>B10+B11</f>
        <v>3224</v>
      </c>
    </row>
    <row r="13" spans="1:4" x14ac:dyDescent="0.25">
      <c r="B13" s="26"/>
    </row>
    <row r="14" spans="1:4" x14ac:dyDescent="0.25">
      <c r="B14" s="26"/>
    </row>
    <row r="15" spans="1:4" x14ac:dyDescent="0.25">
      <c r="B15" s="26"/>
    </row>
    <row r="16" spans="1:4" x14ac:dyDescent="0.25">
      <c r="A16" s="23"/>
      <c r="B16" s="27"/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3224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A31" sqref="A31"/>
    </sheetView>
  </sheetViews>
  <sheetFormatPr defaultRowHeight="15" x14ac:dyDescent="0.25"/>
  <cols>
    <col min="1" max="1" width="28.28515625" customWidth="1"/>
    <col min="2" max="2" width="31" style="25" customWidth="1"/>
    <col min="4" max="4" width="10.42578125" bestFit="1" customWidth="1"/>
  </cols>
  <sheetData>
    <row r="1" spans="1:4" x14ac:dyDescent="0.25">
      <c r="A1" t="s">
        <v>613</v>
      </c>
    </row>
    <row r="2" spans="1:4" ht="30.75" x14ac:dyDescent="0.3">
      <c r="A2" s="24" t="s">
        <v>554</v>
      </c>
      <c r="B2" s="205" t="s">
        <v>47</v>
      </c>
      <c r="D2" s="22"/>
    </row>
    <row r="4" spans="1:4" x14ac:dyDescent="0.25">
      <c r="A4" t="s">
        <v>39</v>
      </c>
      <c r="B4" s="25" t="s">
        <v>465</v>
      </c>
    </row>
    <row r="5" spans="1:4" x14ac:dyDescent="0.25">
      <c r="A5" t="s">
        <v>41</v>
      </c>
      <c r="B5" s="375" t="s">
        <v>640</v>
      </c>
    </row>
    <row r="6" spans="1:4" x14ac:dyDescent="0.25">
      <c r="A6" t="s">
        <v>54</v>
      </c>
      <c r="B6" s="22">
        <v>41824</v>
      </c>
    </row>
    <row r="8" spans="1:4" x14ac:dyDescent="0.25">
      <c r="A8" s="206" t="s">
        <v>48</v>
      </c>
      <c r="B8" s="374">
        <v>41791</v>
      </c>
    </row>
    <row r="10" spans="1:4" x14ac:dyDescent="0.25">
      <c r="A10" t="s">
        <v>641</v>
      </c>
      <c r="B10" s="26">
        <f>4.5*200</f>
        <v>900</v>
      </c>
    </row>
    <row r="11" spans="1:4" x14ac:dyDescent="0.25">
      <c r="A11" t="s">
        <v>645</v>
      </c>
      <c r="B11" s="26">
        <f>-0.25*B10</f>
        <v>-225</v>
      </c>
    </row>
    <row r="12" spans="1:4" x14ac:dyDescent="0.25">
      <c r="A12" s="23" t="s">
        <v>44</v>
      </c>
      <c r="B12" s="27">
        <f>B10+B11</f>
        <v>675</v>
      </c>
    </row>
    <row r="13" spans="1:4" x14ac:dyDescent="0.25">
      <c r="B13" s="26"/>
    </row>
    <row r="14" spans="1:4" x14ac:dyDescent="0.25">
      <c r="A14" t="s">
        <v>642</v>
      </c>
      <c r="B14" s="26"/>
    </row>
    <row r="15" spans="1:4" x14ac:dyDescent="0.25">
      <c r="A15" t="s">
        <v>644</v>
      </c>
      <c r="B15" s="26"/>
    </row>
    <row r="16" spans="1:4" x14ac:dyDescent="0.25">
      <c r="A16" t="s">
        <v>643</v>
      </c>
      <c r="B16" s="26">
        <f>4.5*400</f>
        <v>1800</v>
      </c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2475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  <row r="22" spans="1:2" x14ac:dyDescent="0.25">
      <c r="B22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sqref="A1:B21"/>
    </sheetView>
  </sheetViews>
  <sheetFormatPr defaultRowHeight="15" x14ac:dyDescent="0.25"/>
  <cols>
    <col min="1" max="1" width="28.28515625" customWidth="1"/>
    <col min="2" max="2" width="31" style="25" customWidth="1"/>
    <col min="4" max="4" width="10.42578125" bestFit="1" customWidth="1"/>
  </cols>
  <sheetData>
    <row r="1" spans="1:4" x14ac:dyDescent="0.25">
      <c r="A1" t="s">
        <v>613</v>
      </c>
    </row>
    <row r="2" spans="1:4" ht="30.75" x14ac:dyDescent="0.3">
      <c r="A2" s="24" t="s">
        <v>614</v>
      </c>
      <c r="B2" s="205" t="s">
        <v>47</v>
      </c>
      <c r="D2" s="22"/>
    </row>
    <row r="4" spans="1:4" x14ac:dyDescent="0.25">
      <c r="A4" t="s">
        <v>39</v>
      </c>
      <c r="B4" s="25" t="s">
        <v>465</v>
      </c>
    </row>
    <row r="5" spans="1:4" x14ac:dyDescent="0.25">
      <c r="A5" t="s">
        <v>41</v>
      </c>
      <c r="B5" s="375" t="s">
        <v>640</v>
      </c>
    </row>
    <row r="6" spans="1:4" x14ac:dyDescent="0.25">
      <c r="A6" t="s">
        <v>54</v>
      </c>
      <c r="B6" s="22">
        <v>41829</v>
      </c>
    </row>
    <row r="8" spans="1:4" x14ac:dyDescent="0.25">
      <c r="A8" s="206" t="s">
        <v>48</v>
      </c>
      <c r="B8" s="374">
        <v>41791</v>
      </c>
    </row>
    <row r="10" spans="1:4" x14ac:dyDescent="0.25">
      <c r="A10" t="s">
        <v>648</v>
      </c>
      <c r="B10" s="26">
        <f>2*200</f>
        <v>400</v>
      </c>
    </row>
    <row r="11" spans="1:4" x14ac:dyDescent="0.25">
      <c r="A11" t="s">
        <v>645</v>
      </c>
      <c r="B11" s="26">
        <f>-0.25*B10</f>
        <v>-100</v>
      </c>
    </row>
    <row r="12" spans="1:4" x14ac:dyDescent="0.25">
      <c r="A12" s="23" t="s">
        <v>44</v>
      </c>
      <c r="B12" s="27">
        <f>B10+B11</f>
        <v>300</v>
      </c>
    </row>
    <row r="13" spans="1:4" x14ac:dyDescent="0.25">
      <c r="B13" s="26"/>
    </row>
    <row r="14" spans="1:4" x14ac:dyDescent="0.25">
      <c r="A14" t="s">
        <v>642</v>
      </c>
      <c r="B14" s="26"/>
    </row>
    <row r="15" spans="1:4" x14ac:dyDescent="0.25">
      <c r="A15" t="s">
        <v>646</v>
      </c>
      <c r="B15" s="26"/>
    </row>
    <row r="16" spans="1:4" x14ac:dyDescent="0.25">
      <c r="A16" t="s">
        <v>647</v>
      </c>
      <c r="B16" s="26">
        <f>2*600</f>
        <v>1200</v>
      </c>
    </row>
    <row r="17" spans="1:2" x14ac:dyDescent="0.25">
      <c r="A17" s="23"/>
      <c r="B17" s="27"/>
    </row>
    <row r="18" spans="1:2" x14ac:dyDescent="0.25">
      <c r="A18" s="208" t="s">
        <v>372</v>
      </c>
      <c r="B18" s="209">
        <f>B12+B16</f>
        <v>1500</v>
      </c>
    </row>
    <row r="19" spans="1:2" x14ac:dyDescent="0.25">
      <c r="B19" s="26"/>
    </row>
    <row r="20" spans="1:2" x14ac:dyDescent="0.25">
      <c r="A20" t="s">
        <v>45</v>
      </c>
      <c r="B20" s="26"/>
    </row>
    <row r="21" spans="1:2" x14ac:dyDescent="0.25">
      <c r="A21" t="s">
        <v>46</v>
      </c>
      <c r="B21" s="26"/>
    </row>
    <row r="22" spans="1:2" x14ac:dyDescent="0.25">
      <c r="B22" s="26"/>
    </row>
  </sheetData>
  <pageMargins left="0.7" right="0.7" top="0.75" bottom="0.75" header="0.3" footer="0.3"/>
  <pageSetup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66"/>
  <sheetViews>
    <sheetView topLeftCell="A45" workbookViewId="0">
      <selection activeCell="A54" sqref="A54:H66"/>
    </sheetView>
  </sheetViews>
  <sheetFormatPr defaultRowHeight="14.25" x14ac:dyDescent="0.2"/>
  <cols>
    <col min="1" max="1" width="18" style="152" customWidth="1"/>
    <col min="2" max="2" width="14.28515625" style="152" customWidth="1"/>
    <col min="3" max="3" width="13.5703125" style="152" customWidth="1"/>
    <col min="4" max="4" width="15.7109375" style="152" customWidth="1"/>
    <col min="5" max="5" width="16.85546875" style="152" customWidth="1"/>
    <col min="6" max="6" width="15.85546875" style="152" customWidth="1"/>
    <col min="7" max="7" width="14.5703125" style="152" customWidth="1"/>
    <col min="8" max="16384" width="9.140625" style="152"/>
  </cols>
  <sheetData>
    <row r="2" spans="1:8" ht="20.25" hidden="1" x14ac:dyDescent="0.3">
      <c r="A2" s="151" t="s">
        <v>497</v>
      </c>
      <c r="D2" s="158" t="s">
        <v>370</v>
      </c>
      <c r="E2" s="202">
        <f>E13+F13</f>
        <v>-12377.191999999999</v>
      </c>
      <c r="F2" s="152" t="s">
        <v>498</v>
      </c>
    </row>
    <row r="3" spans="1:8" hidden="1" x14ac:dyDescent="0.2"/>
    <row r="4" spans="1:8" hidden="1" x14ac:dyDescent="0.2">
      <c r="F4" s="157">
        <v>0.35</v>
      </c>
    </row>
    <row r="5" spans="1:8" ht="54.75" hidden="1" thickBot="1" x14ac:dyDescent="0.3">
      <c r="A5" s="203" t="s">
        <v>49</v>
      </c>
      <c r="B5" s="203" t="s">
        <v>374</v>
      </c>
      <c r="C5" s="204" t="s">
        <v>53</v>
      </c>
      <c r="D5" s="204" t="s">
        <v>52</v>
      </c>
      <c r="E5" s="204" t="s">
        <v>50</v>
      </c>
      <c r="F5" s="204" t="s">
        <v>43</v>
      </c>
      <c r="G5" s="204" t="s">
        <v>51</v>
      </c>
      <c r="H5" s="153"/>
    </row>
    <row r="6" spans="1:8" hidden="1" x14ac:dyDescent="0.2"/>
    <row r="7" spans="1:8" hidden="1" x14ac:dyDescent="0.2">
      <c r="A7" s="152" t="s">
        <v>40</v>
      </c>
      <c r="B7" s="152" t="s">
        <v>364</v>
      </c>
      <c r="C7" s="156">
        <f>'Ers Stig 1-13'!B10</f>
        <v>9920</v>
      </c>
      <c r="D7" s="155">
        <v>0.1021</v>
      </c>
      <c r="E7" s="202">
        <f>(-D7*C7)</f>
        <v>-1012.832</v>
      </c>
      <c r="F7" s="202">
        <f>'Ers Stig 1-13'!B11</f>
        <v>-3472</v>
      </c>
      <c r="G7" s="154">
        <f>C7+F7</f>
        <v>6448</v>
      </c>
    </row>
    <row r="8" spans="1:8" hidden="1" x14ac:dyDescent="0.2">
      <c r="A8" s="253" t="s">
        <v>392</v>
      </c>
      <c r="B8" s="152" t="s">
        <v>393</v>
      </c>
      <c r="C8" s="156">
        <f>Arvoden2013!C7</f>
        <v>6000</v>
      </c>
      <c r="D8" s="155">
        <v>0.1021</v>
      </c>
      <c r="E8" s="202">
        <f>-(D8*C8)+1</f>
        <v>-611.6</v>
      </c>
      <c r="F8" s="254">
        <f>-$F$4*C8</f>
        <v>-2100</v>
      </c>
      <c r="G8" s="154">
        <f t="shared" ref="G8:G10" si="0">C8+F8</f>
        <v>3900</v>
      </c>
    </row>
    <row r="9" spans="1:8" hidden="1" x14ac:dyDescent="0.2">
      <c r="A9" s="253" t="s">
        <v>45</v>
      </c>
      <c r="B9" s="152" t="s">
        <v>395</v>
      </c>
      <c r="C9" s="156">
        <f>Arvoden2013!C8</f>
        <v>4600</v>
      </c>
      <c r="D9" s="155">
        <v>0.31419999999999998</v>
      </c>
      <c r="E9" s="202">
        <f t="shared" ref="E9:E10" si="1">-D9*C9</f>
        <v>-1445.32</v>
      </c>
      <c r="F9" s="254">
        <f t="shared" ref="F9:F10" si="2">-$F$4*C9</f>
        <v>-1610</v>
      </c>
      <c r="G9" s="154">
        <f t="shared" si="0"/>
        <v>2990</v>
      </c>
    </row>
    <row r="10" spans="1:8" hidden="1" x14ac:dyDescent="0.2">
      <c r="A10" s="253" t="s">
        <v>99</v>
      </c>
      <c r="B10" s="152" t="s">
        <v>394</v>
      </c>
      <c r="C10" s="156">
        <f>Arvoden2013!C9</f>
        <v>3200</v>
      </c>
      <c r="D10" s="155">
        <v>0.31419999999999998</v>
      </c>
      <c r="E10" s="202">
        <f t="shared" si="1"/>
        <v>-1005.4399999999999</v>
      </c>
      <c r="F10" s="254">
        <f t="shared" si="2"/>
        <v>-1120</v>
      </c>
      <c r="G10" s="154">
        <f t="shared" si="0"/>
        <v>2080</v>
      </c>
      <c r="H10" s="156"/>
    </row>
    <row r="11" spans="1:8" hidden="1" x14ac:dyDescent="0.2">
      <c r="C11" s="156"/>
      <c r="D11" s="155"/>
      <c r="E11" s="155"/>
      <c r="F11" s="155"/>
      <c r="G11" s="155"/>
    </row>
    <row r="12" spans="1:8" ht="15" hidden="1" thickBot="1" x14ac:dyDescent="0.25">
      <c r="A12" s="245"/>
      <c r="B12" s="246"/>
      <c r="C12" s="247"/>
      <c r="D12" s="248"/>
      <c r="E12" s="249"/>
      <c r="F12" s="246"/>
      <c r="G12" s="249"/>
      <c r="H12" s="187"/>
    </row>
    <row r="13" spans="1:8" ht="15" hidden="1" thickTop="1" x14ac:dyDescent="0.2">
      <c r="A13" s="152" t="s">
        <v>35</v>
      </c>
      <c r="C13" s="154">
        <f>SUM(C7:C12)</f>
        <v>23720</v>
      </c>
      <c r="E13" s="202">
        <f>SUM(E7:E12)</f>
        <v>-4075.192</v>
      </c>
      <c r="F13" s="202">
        <f>SUM(F7:F12)</f>
        <v>-8302</v>
      </c>
      <c r="G13" s="154">
        <f>SUM(G7:G12)</f>
        <v>15418</v>
      </c>
    </row>
    <row r="14" spans="1:8" hidden="1" x14ac:dyDescent="0.2"/>
    <row r="15" spans="1:8" hidden="1" x14ac:dyDescent="0.2"/>
    <row r="16" spans="1:8" ht="20.25" hidden="1" x14ac:dyDescent="0.3">
      <c r="A16" s="151" t="s">
        <v>497</v>
      </c>
      <c r="D16" s="158" t="s">
        <v>391</v>
      </c>
      <c r="E16" s="202">
        <f>E21+F21</f>
        <v>-3642.9259999999999</v>
      </c>
      <c r="F16" s="152" t="s">
        <v>521</v>
      </c>
    </row>
    <row r="17" spans="1:7" hidden="1" x14ac:dyDescent="0.2">
      <c r="E17" s="202">
        <f>E22+F22</f>
        <v>-3071.9236999999998</v>
      </c>
      <c r="F17" s="152" t="s">
        <v>526</v>
      </c>
    </row>
    <row r="18" spans="1:7" hidden="1" x14ac:dyDescent="0.2">
      <c r="F18" s="157">
        <v>0.35</v>
      </c>
    </row>
    <row r="19" spans="1:7" ht="54.75" hidden="1" thickBot="1" x14ac:dyDescent="0.3">
      <c r="A19" s="203" t="s">
        <v>49</v>
      </c>
      <c r="B19" s="203" t="s">
        <v>374</v>
      </c>
      <c r="C19" s="204" t="s">
        <v>53</v>
      </c>
      <c r="D19" s="204" t="s">
        <v>52</v>
      </c>
      <c r="E19" s="204" t="s">
        <v>50</v>
      </c>
      <c r="F19" s="204" t="s">
        <v>43</v>
      </c>
      <c r="G19" s="204" t="s">
        <v>51</v>
      </c>
    </row>
    <row r="20" spans="1:7" hidden="1" x14ac:dyDescent="0.2"/>
    <row r="21" spans="1:7" hidden="1" x14ac:dyDescent="0.2">
      <c r="A21" s="152" t="s">
        <v>40</v>
      </c>
      <c r="B21" s="152" t="s">
        <v>364</v>
      </c>
      <c r="C21" s="156">
        <f>'Ers Stig 2-13'!B10</f>
        <v>8060</v>
      </c>
      <c r="D21" s="155">
        <v>0.1021</v>
      </c>
      <c r="E21" s="202">
        <f>-D21*C21+1</f>
        <v>-821.92599999999993</v>
      </c>
      <c r="F21" s="202">
        <f>'Ers Stig 2-13'!B11</f>
        <v>-2821</v>
      </c>
      <c r="G21" s="154">
        <f>C21+F21</f>
        <v>5239</v>
      </c>
    </row>
    <row r="22" spans="1:7" hidden="1" x14ac:dyDescent="0.2">
      <c r="A22" s="152" t="s">
        <v>40</v>
      </c>
      <c r="B22" s="152" t="s">
        <v>364</v>
      </c>
      <c r="C22" s="156">
        <f>'Ers Stig 3-13'!B10+'Ers Stig 3-13'!B14</f>
        <v>6797</v>
      </c>
      <c r="D22" s="155">
        <v>0.1021</v>
      </c>
      <c r="E22" s="202">
        <f>(-D22*C22)+1</f>
        <v>-692.97370000000001</v>
      </c>
      <c r="F22" s="202">
        <f>'Ers Stig 3-13'!B11+'Ers Stig 3-13'!B15</f>
        <v>-2378.9499999999998</v>
      </c>
      <c r="G22" s="154">
        <f>C22+F22</f>
        <v>4418.05</v>
      </c>
    </row>
    <row r="23" spans="1:7" ht="15" hidden="1" thickBot="1" x14ac:dyDescent="0.25">
      <c r="A23" s="245"/>
      <c r="B23" s="246"/>
      <c r="C23" s="247"/>
      <c r="D23" s="248"/>
      <c r="E23" s="311"/>
      <c r="F23" s="312"/>
      <c r="G23" s="249"/>
    </row>
    <row r="24" spans="1:7" ht="15" hidden="1" thickTop="1" x14ac:dyDescent="0.2">
      <c r="A24" s="152" t="s">
        <v>35</v>
      </c>
      <c r="C24" s="154">
        <f>SUM(C21:C23)</f>
        <v>14857</v>
      </c>
      <c r="E24" s="202">
        <f>SUM(E21:E23)</f>
        <v>-1514.8996999999999</v>
      </c>
      <c r="F24" s="202">
        <f>SUM(F21:F23)</f>
        <v>-5199.95</v>
      </c>
      <c r="G24" s="154">
        <f>SUM(G21:G23)</f>
        <v>9657.0499999999993</v>
      </c>
    </row>
    <row r="25" spans="1:7" hidden="1" x14ac:dyDescent="0.2"/>
    <row r="26" spans="1:7" hidden="1" x14ac:dyDescent="0.2">
      <c r="C26" s="156"/>
      <c r="F26" s="154"/>
    </row>
    <row r="28" spans="1:7" ht="20.25" x14ac:dyDescent="0.3">
      <c r="A28" s="151" t="s">
        <v>558</v>
      </c>
      <c r="D28" s="158" t="s">
        <v>559</v>
      </c>
      <c r="E28" s="202">
        <f>E33+F33</f>
        <v>-2242.4160000000002</v>
      </c>
      <c r="F28" s="152" t="s">
        <v>562</v>
      </c>
    </row>
    <row r="30" spans="1:7" x14ac:dyDescent="0.2">
      <c r="F30" s="157">
        <v>0.35</v>
      </c>
    </row>
    <row r="31" spans="1:7" ht="54.75" thickBot="1" x14ac:dyDescent="0.3">
      <c r="A31" s="203" t="s">
        <v>49</v>
      </c>
      <c r="B31" s="203" t="s">
        <v>374</v>
      </c>
      <c r="C31" s="204" t="s">
        <v>53</v>
      </c>
      <c r="D31" s="204" t="s">
        <v>52</v>
      </c>
      <c r="E31" s="204" t="s">
        <v>50</v>
      </c>
      <c r="F31" s="204" t="s">
        <v>43</v>
      </c>
      <c r="G31" s="204" t="s">
        <v>51</v>
      </c>
    </row>
    <row r="33" spans="1:7" x14ac:dyDescent="0.2">
      <c r="A33" s="152" t="s">
        <v>40</v>
      </c>
      <c r="B33" s="152" t="s">
        <v>364</v>
      </c>
      <c r="C33" s="156">
        <f>'Ers Stig 1-14'!B10</f>
        <v>4960</v>
      </c>
      <c r="D33" s="155">
        <v>0.1021</v>
      </c>
      <c r="E33" s="202">
        <f>-D33*C33</f>
        <v>-506.416</v>
      </c>
      <c r="F33" s="202">
        <f>'Ers Stig 1-14'!B11</f>
        <v>-1736</v>
      </c>
      <c r="G33" s="154">
        <f>C33+F33</f>
        <v>3224</v>
      </c>
    </row>
    <row r="34" spans="1:7" x14ac:dyDescent="0.2">
      <c r="C34" s="156"/>
      <c r="D34" s="155">
        <v>0.1021</v>
      </c>
      <c r="E34" s="202"/>
      <c r="F34" s="202"/>
      <c r="G34" s="154">
        <f>C34+F34</f>
        <v>0</v>
      </c>
    </row>
    <row r="35" spans="1:7" ht="15" thickBot="1" x14ac:dyDescent="0.25">
      <c r="A35" s="245"/>
      <c r="B35" s="246"/>
      <c r="C35" s="247"/>
      <c r="D35" s="248"/>
      <c r="E35" s="311"/>
      <c r="F35" s="312"/>
      <c r="G35" s="249"/>
    </row>
    <row r="36" spans="1:7" ht="15" thickTop="1" x14ac:dyDescent="0.2">
      <c r="A36" s="152" t="s">
        <v>35</v>
      </c>
      <c r="C36" s="154">
        <f>SUM(C33:C35)</f>
        <v>4960</v>
      </c>
      <c r="E36" s="202">
        <f>SUM(E33:E35)</f>
        <v>-506.416</v>
      </c>
      <c r="F36" s="202">
        <f>SUM(F33:F35)</f>
        <v>-1736</v>
      </c>
      <c r="G36" s="154">
        <f>SUM(G33:G35)</f>
        <v>3224</v>
      </c>
    </row>
    <row r="38" spans="1:7" x14ac:dyDescent="0.2">
      <c r="C38" s="154"/>
      <c r="E38" s="154"/>
      <c r="F38" s="154"/>
    </row>
    <row r="39" spans="1:7" ht="20.25" x14ac:dyDescent="0.3">
      <c r="A39" s="151" t="s">
        <v>558</v>
      </c>
      <c r="D39" s="158" t="s">
        <v>391</v>
      </c>
      <c r="E39" s="202">
        <f>E51+F51</f>
        <v>-13956.13</v>
      </c>
      <c r="F39" s="152" t="s">
        <v>654</v>
      </c>
    </row>
    <row r="41" spans="1:7" x14ac:dyDescent="0.2">
      <c r="F41" s="157">
        <v>0.35</v>
      </c>
    </row>
    <row r="42" spans="1:7" ht="54.75" thickBot="1" x14ac:dyDescent="0.3">
      <c r="A42" s="203" t="s">
        <v>49</v>
      </c>
      <c r="B42" s="203" t="s">
        <v>374</v>
      </c>
      <c r="C42" s="204" t="s">
        <v>53</v>
      </c>
      <c r="D42" s="204" t="s">
        <v>52</v>
      </c>
      <c r="E42" s="204" t="s">
        <v>50</v>
      </c>
      <c r="F42" s="204" t="s">
        <v>43</v>
      </c>
      <c r="G42" s="204" t="s">
        <v>51</v>
      </c>
    </row>
    <row r="44" spans="1:7" x14ac:dyDescent="0.2">
      <c r="A44" s="253" t="s">
        <v>392</v>
      </c>
      <c r="B44" s="152" t="s">
        <v>393</v>
      </c>
      <c r="C44" s="156">
        <f>Arvoden2014!C7</f>
        <v>6000</v>
      </c>
      <c r="D44" s="155">
        <v>0.1021</v>
      </c>
      <c r="E44" s="202">
        <f>-(D44*C44)+1</f>
        <v>-611.6</v>
      </c>
      <c r="F44" s="254">
        <f>-$F$4*C44</f>
        <v>-2100</v>
      </c>
      <c r="G44" s="154">
        <f t="shared" ref="G44:G48" si="3">C44+F44</f>
        <v>3900</v>
      </c>
    </row>
    <row r="45" spans="1:7" x14ac:dyDescent="0.2">
      <c r="A45" s="253" t="s">
        <v>45</v>
      </c>
      <c r="B45" s="152" t="s">
        <v>395</v>
      </c>
      <c r="C45" s="156">
        <f>Arvoden2014!C8</f>
        <v>4600</v>
      </c>
      <c r="D45" s="155">
        <v>0.31419999999999998</v>
      </c>
      <c r="E45" s="202">
        <f t="shared" ref="E45:E48" si="4">-D45*C45</f>
        <v>-1445.32</v>
      </c>
      <c r="F45" s="254">
        <f t="shared" ref="F45:F47" si="5">-$F$4*C45</f>
        <v>-1610</v>
      </c>
      <c r="G45" s="154">
        <f t="shared" si="3"/>
        <v>2990</v>
      </c>
    </row>
    <row r="46" spans="1:7" x14ac:dyDescent="0.2">
      <c r="A46" s="253" t="s">
        <v>99</v>
      </c>
      <c r="B46" s="152" t="s">
        <v>394</v>
      </c>
      <c r="C46" s="156">
        <f>Arvoden2014!C9</f>
        <v>3200</v>
      </c>
      <c r="D46" s="155">
        <v>0.31419999999999998</v>
      </c>
      <c r="E46" s="202">
        <f t="shared" si="4"/>
        <v>-1005.4399999999999</v>
      </c>
      <c r="F46" s="254">
        <f t="shared" si="5"/>
        <v>-1120</v>
      </c>
      <c r="G46" s="154">
        <f t="shared" si="3"/>
        <v>2080</v>
      </c>
    </row>
    <row r="47" spans="1:7" x14ac:dyDescent="0.2">
      <c r="A47" s="152" t="s">
        <v>40</v>
      </c>
      <c r="B47" s="152" t="s">
        <v>364</v>
      </c>
      <c r="C47" s="156">
        <v>12400</v>
      </c>
      <c r="D47" s="155">
        <v>0.1021</v>
      </c>
      <c r="E47" s="202">
        <f t="shared" si="4"/>
        <v>-1266.04</v>
      </c>
      <c r="F47" s="254">
        <f t="shared" si="5"/>
        <v>-4340</v>
      </c>
      <c r="G47" s="154">
        <f t="shared" si="3"/>
        <v>8060</v>
      </c>
    </row>
    <row r="48" spans="1:7" x14ac:dyDescent="0.2">
      <c r="A48" s="152" t="str">
        <f>'Ers Björn 2-14'!B4</f>
        <v>Björn Norrblom</v>
      </c>
      <c r="B48" s="152" t="str">
        <f>'Ers Björn 2-14'!B5</f>
        <v>470720-1416</v>
      </c>
      <c r="C48" s="156">
        <f>'Ers Björn 1-14'!B10+'Ers Björn 2-14'!B10</f>
        <v>1300</v>
      </c>
      <c r="D48" s="155">
        <v>0.1021</v>
      </c>
      <c r="E48" s="202">
        <f t="shared" si="4"/>
        <v>-132.72999999999999</v>
      </c>
      <c r="F48" s="202">
        <f>'Ers Björn 1-14'!B11+'Ers Björn 2-14'!B11</f>
        <v>-325</v>
      </c>
      <c r="G48" s="154">
        <f t="shared" si="3"/>
        <v>975</v>
      </c>
    </row>
    <row r="49" spans="1:7" x14ac:dyDescent="0.2">
      <c r="C49" s="156"/>
      <c r="D49" s="155"/>
      <c r="E49" s="202"/>
      <c r="F49" s="254"/>
      <c r="G49" s="154"/>
    </row>
    <row r="50" spans="1:7" ht="15" thickBot="1" x14ac:dyDescent="0.25">
      <c r="A50" s="245"/>
      <c r="B50" s="246"/>
      <c r="C50" s="247"/>
      <c r="D50" s="248"/>
      <c r="E50" s="249"/>
      <c r="F50" s="246"/>
      <c r="G50" s="249"/>
    </row>
    <row r="51" spans="1:7" ht="15" thickTop="1" x14ac:dyDescent="0.2">
      <c r="A51" s="152" t="s">
        <v>35</v>
      </c>
      <c r="C51" s="154">
        <f>SUM(C44:C50)</f>
        <v>27500</v>
      </c>
      <c r="E51" s="202">
        <f>SUM(E44:E50)</f>
        <v>-4461.1299999999992</v>
      </c>
      <c r="F51" s="202">
        <f>SUM(F44:F50)</f>
        <v>-9495</v>
      </c>
      <c r="G51" s="154">
        <f>SUM(G44:G50)</f>
        <v>18005</v>
      </c>
    </row>
    <row r="52" spans="1:7" x14ac:dyDescent="0.2">
      <c r="C52" s="156">
        <f>C44+C47+C48</f>
        <v>19700</v>
      </c>
    </row>
    <row r="53" spans="1:7" x14ac:dyDescent="0.2">
      <c r="C53" s="156"/>
    </row>
    <row r="54" spans="1:7" ht="20.25" x14ac:dyDescent="0.3">
      <c r="A54" s="151" t="s">
        <v>558</v>
      </c>
      <c r="D54" s="158" t="s">
        <v>669</v>
      </c>
      <c r="E54" s="202">
        <f>E62+F62</f>
        <v>-6786.9251999999997</v>
      </c>
      <c r="F54" s="152" t="s">
        <v>685</v>
      </c>
    </row>
    <row r="56" spans="1:7" x14ac:dyDescent="0.2">
      <c r="F56" s="157">
        <v>0.35</v>
      </c>
    </row>
    <row r="57" spans="1:7" ht="54.75" thickBot="1" x14ac:dyDescent="0.3">
      <c r="A57" s="203" t="s">
        <v>49</v>
      </c>
      <c r="B57" s="203" t="s">
        <v>374</v>
      </c>
      <c r="C57" s="204" t="s">
        <v>53</v>
      </c>
      <c r="D57" s="204" t="s">
        <v>52</v>
      </c>
      <c r="E57" s="204" t="s">
        <v>50</v>
      </c>
      <c r="F57" s="204" t="s">
        <v>43</v>
      </c>
      <c r="G57" s="204" t="s">
        <v>51</v>
      </c>
    </row>
    <row r="59" spans="1:7" x14ac:dyDescent="0.2">
      <c r="A59" s="152" t="s">
        <v>40</v>
      </c>
      <c r="B59" s="152" t="s">
        <v>364</v>
      </c>
      <c r="C59" s="156">
        <f>'Ers Stig 3-14'!B10</f>
        <v>7905</v>
      </c>
      <c r="D59" s="155">
        <v>0.1021</v>
      </c>
      <c r="E59" s="202">
        <f>-D59*C59</f>
        <v>-807.10050000000001</v>
      </c>
      <c r="F59" s="202">
        <f>'Ers Stig 3-14'!B11</f>
        <v>-2766.75</v>
      </c>
      <c r="G59" s="154">
        <f>C59+F59</f>
        <v>5138.25</v>
      </c>
    </row>
    <row r="60" spans="1:7" x14ac:dyDescent="0.2">
      <c r="A60" s="152" t="s">
        <v>40</v>
      </c>
      <c r="B60" s="152" t="s">
        <v>364</v>
      </c>
      <c r="C60" s="156">
        <f>'Ers Stig 4-14'!B10+'Ers Stig 4-14'!B14</f>
        <v>7107</v>
      </c>
      <c r="D60" s="155">
        <v>0.1021</v>
      </c>
      <c r="E60" s="202">
        <f>-D60*C60</f>
        <v>-725.62469999999996</v>
      </c>
      <c r="F60" s="202">
        <f>'Ers Stig 4-14'!B11+'Ers Stig 4-14'!B15</f>
        <v>-2487.4499999999998</v>
      </c>
      <c r="G60" s="154">
        <f>C60+F60</f>
        <v>4619.55</v>
      </c>
    </row>
    <row r="61" spans="1:7" ht="15" thickBot="1" x14ac:dyDescent="0.25">
      <c r="A61" s="245"/>
      <c r="B61" s="246"/>
      <c r="C61" s="247"/>
      <c r="D61" s="248"/>
      <c r="E61" s="311"/>
      <c r="F61" s="312"/>
      <c r="G61" s="249"/>
    </row>
    <row r="62" spans="1:7" ht="15" thickTop="1" x14ac:dyDescent="0.2">
      <c r="A62" s="152" t="s">
        <v>35</v>
      </c>
      <c r="C62" s="154">
        <f>SUM(C59:C61)</f>
        <v>15012</v>
      </c>
      <c r="E62" s="202">
        <f>SUM(E59:E61)</f>
        <v>-1532.7251999999999</v>
      </c>
      <c r="F62" s="202">
        <f>SUM(F59:F61)</f>
        <v>-5254.2</v>
      </c>
      <c r="G62" s="154">
        <f>SUM(G59:G61)</f>
        <v>9757.7999999999993</v>
      </c>
    </row>
    <row r="64" spans="1:7" x14ac:dyDescent="0.2">
      <c r="A64" s="152" t="s">
        <v>694</v>
      </c>
      <c r="C64" s="156">
        <f>C36+C47+C62</f>
        <v>32372</v>
      </c>
      <c r="E64" s="154">
        <f>E36+E47+E62</f>
        <v>-3305.1812</v>
      </c>
      <c r="F64" s="154">
        <f>F36+F47+F62</f>
        <v>-11330.2</v>
      </c>
    </row>
    <row r="66" spans="1:6" x14ac:dyDescent="0.2">
      <c r="A66" s="152" t="s">
        <v>695</v>
      </c>
      <c r="C66" s="154">
        <f>C36+C51+C62</f>
        <v>47472</v>
      </c>
      <c r="D66" s="154">
        <f t="shared" ref="D66:F66" si="6">D36+D51+D62</f>
        <v>0</v>
      </c>
      <c r="E66" s="154">
        <f t="shared" si="6"/>
        <v>-6500.2711999999992</v>
      </c>
      <c r="F66" s="154">
        <f t="shared" si="6"/>
        <v>-16485.2</v>
      </c>
    </row>
  </sheetData>
  <pageMargins left="0.70866141732283472" right="0.70866141732283472" top="0.74803149606299213" bottom="0.74803149606299213" header="0.31496062992125984" footer="0.31496062992125984"/>
  <pageSetup scale="71" orientation="landscape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66"/>
  <sheetViews>
    <sheetView workbookViewId="0">
      <selection activeCell="D83" sqref="D83"/>
    </sheetView>
  </sheetViews>
  <sheetFormatPr defaultRowHeight="14.25" x14ac:dyDescent="0.2"/>
  <cols>
    <col min="1" max="1" width="18" style="152" customWidth="1"/>
    <col min="2" max="2" width="14.28515625" style="152" customWidth="1"/>
    <col min="3" max="3" width="13.5703125" style="152" customWidth="1"/>
    <col min="4" max="4" width="15.7109375" style="152" customWidth="1"/>
    <col min="5" max="5" width="16.85546875" style="152" customWidth="1"/>
    <col min="6" max="6" width="15.85546875" style="152" customWidth="1"/>
    <col min="7" max="7" width="14.5703125" style="152" customWidth="1"/>
    <col min="8" max="16384" width="9.140625" style="152"/>
  </cols>
  <sheetData>
    <row r="2" spans="1:8" ht="20.25" hidden="1" x14ac:dyDescent="0.3">
      <c r="A2" s="151" t="s">
        <v>497</v>
      </c>
      <c r="D2" s="158" t="s">
        <v>370</v>
      </c>
      <c r="E2" s="202">
        <f>E13+F13</f>
        <v>-12377.191999999999</v>
      </c>
      <c r="F2" s="152" t="s">
        <v>498</v>
      </c>
    </row>
    <row r="3" spans="1:8" hidden="1" x14ac:dyDescent="0.2"/>
    <row r="4" spans="1:8" hidden="1" x14ac:dyDescent="0.2">
      <c r="F4" s="157">
        <v>0.35</v>
      </c>
    </row>
    <row r="5" spans="1:8" ht="54.75" hidden="1" thickBot="1" x14ac:dyDescent="0.3">
      <c r="A5" s="203" t="s">
        <v>49</v>
      </c>
      <c r="B5" s="203" t="s">
        <v>374</v>
      </c>
      <c r="C5" s="204" t="s">
        <v>53</v>
      </c>
      <c r="D5" s="204" t="s">
        <v>52</v>
      </c>
      <c r="E5" s="204" t="s">
        <v>50</v>
      </c>
      <c r="F5" s="204" t="s">
        <v>43</v>
      </c>
      <c r="G5" s="204" t="s">
        <v>51</v>
      </c>
      <c r="H5" s="153"/>
    </row>
    <row r="6" spans="1:8" hidden="1" x14ac:dyDescent="0.2"/>
    <row r="7" spans="1:8" hidden="1" x14ac:dyDescent="0.2">
      <c r="A7" s="152" t="s">
        <v>40</v>
      </c>
      <c r="B7" s="152" t="s">
        <v>364</v>
      </c>
      <c r="C7" s="156">
        <f>'Ers Stig 1-13'!B10</f>
        <v>9920</v>
      </c>
      <c r="D7" s="155">
        <v>0.1021</v>
      </c>
      <c r="E7" s="202">
        <f>(-D7*C7)</f>
        <v>-1012.832</v>
      </c>
      <c r="F7" s="202">
        <f>'Ers Stig 1-13'!B11</f>
        <v>-3472</v>
      </c>
      <c r="G7" s="154">
        <f>C7+F7</f>
        <v>6448</v>
      </c>
    </row>
    <row r="8" spans="1:8" hidden="1" x14ac:dyDescent="0.2">
      <c r="A8" s="253" t="s">
        <v>392</v>
      </c>
      <c r="B8" s="152" t="s">
        <v>393</v>
      </c>
      <c r="C8" s="156">
        <f>Arvoden2013!C7</f>
        <v>6000</v>
      </c>
      <c r="D8" s="155">
        <v>0.1021</v>
      </c>
      <c r="E8" s="202">
        <f>-(D8*C8)+1</f>
        <v>-611.6</v>
      </c>
      <c r="F8" s="254">
        <f>-$F$4*C8</f>
        <v>-2100</v>
      </c>
      <c r="G8" s="154">
        <f t="shared" ref="G8:G10" si="0">C8+F8</f>
        <v>3900</v>
      </c>
    </row>
    <row r="9" spans="1:8" hidden="1" x14ac:dyDescent="0.2">
      <c r="A9" s="253" t="s">
        <v>45</v>
      </c>
      <c r="B9" s="152" t="s">
        <v>395</v>
      </c>
      <c r="C9" s="156">
        <f>Arvoden2013!C8</f>
        <v>4600</v>
      </c>
      <c r="D9" s="155">
        <v>0.31419999999999998</v>
      </c>
      <c r="E9" s="202">
        <f t="shared" ref="E9:E10" si="1">-D9*C9</f>
        <v>-1445.32</v>
      </c>
      <c r="F9" s="254">
        <f t="shared" ref="F9:F10" si="2">-$F$4*C9</f>
        <v>-1610</v>
      </c>
      <c r="G9" s="154">
        <f t="shared" si="0"/>
        <v>2990</v>
      </c>
    </row>
    <row r="10" spans="1:8" hidden="1" x14ac:dyDescent="0.2">
      <c r="A10" s="253" t="s">
        <v>99</v>
      </c>
      <c r="B10" s="152" t="s">
        <v>394</v>
      </c>
      <c r="C10" s="156">
        <f>Arvoden2013!C9</f>
        <v>3200</v>
      </c>
      <c r="D10" s="155">
        <v>0.31419999999999998</v>
      </c>
      <c r="E10" s="202">
        <f t="shared" si="1"/>
        <v>-1005.4399999999999</v>
      </c>
      <c r="F10" s="254">
        <f t="shared" si="2"/>
        <v>-1120</v>
      </c>
      <c r="G10" s="154">
        <f t="shared" si="0"/>
        <v>2080</v>
      </c>
      <c r="H10" s="156"/>
    </row>
    <row r="11" spans="1:8" hidden="1" x14ac:dyDescent="0.2">
      <c r="C11" s="156"/>
      <c r="D11" s="155"/>
      <c r="E11" s="155"/>
      <c r="F11" s="155"/>
      <c r="G11" s="155"/>
    </row>
    <row r="12" spans="1:8" ht="15" hidden="1" thickBot="1" x14ac:dyDescent="0.25">
      <c r="A12" s="245"/>
      <c r="B12" s="246"/>
      <c r="C12" s="247"/>
      <c r="D12" s="248"/>
      <c r="E12" s="249"/>
      <c r="F12" s="246"/>
      <c r="G12" s="249"/>
      <c r="H12" s="187"/>
    </row>
    <row r="13" spans="1:8" hidden="1" x14ac:dyDescent="0.2">
      <c r="A13" s="152" t="s">
        <v>35</v>
      </c>
      <c r="C13" s="154">
        <f>SUM(C7:C12)</f>
        <v>23720</v>
      </c>
      <c r="E13" s="202">
        <f>SUM(E7:E12)</f>
        <v>-4075.192</v>
      </c>
      <c r="F13" s="202">
        <f>SUM(F7:F12)</f>
        <v>-8302</v>
      </c>
      <c r="G13" s="154">
        <f>SUM(G7:G12)</f>
        <v>15418</v>
      </c>
    </row>
    <row r="14" spans="1:8" hidden="1" x14ac:dyDescent="0.2"/>
    <row r="15" spans="1:8" hidden="1" x14ac:dyDescent="0.2"/>
    <row r="16" spans="1:8" ht="20.25" hidden="1" x14ac:dyDescent="0.3">
      <c r="A16" s="151" t="s">
        <v>497</v>
      </c>
      <c r="D16" s="158" t="s">
        <v>391</v>
      </c>
      <c r="E16" s="202">
        <f>E21+F21</f>
        <v>-3642.9259999999999</v>
      </c>
      <c r="F16" s="152" t="s">
        <v>521</v>
      </c>
    </row>
    <row r="17" spans="1:7" hidden="1" x14ac:dyDescent="0.2">
      <c r="E17" s="202">
        <f>E22+F22</f>
        <v>-3071.9236999999998</v>
      </c>
      <c r="F17" s="152" t="s">
        <v>526</v>
      </c>
    </row>
    <row r="18" spans="1:7" hidden="1" x14ac:dyDescent="0.2">
      <c r="F18" s="157">
        <v>0.35</v>
      </c>
    </row>
    <row r="19" spans="1:7" ht="54.75" hidden="1" thickBot="1" x14ac:dyDescent="0.3">
      <c r="A19" s="203" t="s">
        <v>49</v>
      </c>
      <c r="B19" s="203" t="s">
        <v>374</v>
      </c>
      <c r="C19" s="204" t="s">
        <v>53</v>
      </c>
      <c r="D19" s="204" t="s">
        <v>52</v>
      </c>
      <c r="E19" s="204" t="s">
        <v>50</v>
      </c>
      <c r="F19" s="204" t="s">
        <v>43</v>
      </c>
      <c r="G19" s="204" t="s">
        <v>51</v>
      </c>
    </row>
    <row r="20" spans="1:7" hidden="1" x14ac:dyDescent="0.2"/>
    <row r="21" spans="1:7" hidden="1" x14ac:dyDescent="0.2">
      <c r="A21" s="152" t="s">
        <v>40</v>
      </c>
      <c r="B21" s="152" t="s">
        <v>364</v>
      </c>
      <c r="C21" s="156">
        <f>'Ers Stig 2-13'!B10</f>
        <v>8060</v>
      </c>
      <c r="D21" s="155">
        <v>0.1021</v>
      </c>
      <c r="E21" s="202">
        <f>-D21*C21+1</f>
        <v>-821.92599999999993</v>
      </c>
      <c r="F21" s="202">
        <f>'Ers Stig 2-13'!B11</f>
        <v>-2821</v>
      </c>
      <c r="G21" s="154">
        <f>C21+F21</f>
        <v>5239</v>
      </c>
    </row>
    <row r="22" spans="1:7" hidden="1" x14ac:dyDescent="0.2">
      <c r="A22" s="152" t="s">
        <v>40</v>
      </c>
      <c r="B22" s="152" t="s">
        <v>364</v>
      </c>
      <c r="C22" s="156">
        <f>'Ers Stig 3-13'!B10+'Ers Stig 3-13'!B14</f>
        <v>6797</v>
      </c>
      <c r="D22" s="155">
        <v>0.1021</v>
      </c>
      <c r="E22" s="202">
        <f>(-D22*C22)+1</f>
        <v>-692.97370000000001</v>
      </c>
      <c r="F22" s="202">
        <f>'Ers Stig 3-13'!B11+'Ers Stig 3-13'!B15</f>
        <v>-2378.9499999999998</v>
      </c>
      <c r="G22" s="154">
        <f>C22+F22</f>
        <v>4418.05</v>
      </c>
    </row>
    <row r="23" spans="1:7" ht="15" hidden="1" thickBot="1" x14ac:dyDescent="0.25">
      <c r="A23" s="245"/>
      <c r="B23" s="246"/>
      <c r="C23" s="247"/>
      <c r="D23" s="248"/>
      <c r="E23" s="311"/>
      <c r="F23" s="312"/>
      <c r="G23" s="249"/>
    </row>
    <row r="24" spans="1:7" hidden="1" x14ac:dyDescent="0.2">
      <c r="A24" s="152" t="s">
        <v>35</v>
      </c>
      <c r="C24" s="154">
        <f>SUM(C21:C23)</f>
        <v>14857</v>
      </c>
      <c r="E24" s="202">
        <f>SUM(E21:E23)</f>
        <v>-1514.8996999999999</v>
      </c>
      <c r="F24" s="202">
        <f>SUM(F21:F23)</f>
        <v>-5199.95</v>
      </c>
      <c r="G24" s="154">
        <f>SUM(G21:G23)</f>
        <v>9657.0499999999993</v>
      </c>
    </row>
    <row r="25" spans="1:7" hidden="1" x14ac:dyDescent="0.2"/>
    <row r="26" spans="1:7" hidden="1" x14ac:dyDescent="0.2">
      <c r="C26" s="156"/>
      <c r="F26" s="154"/>
    </row>
    <row r="28" spans="1:7" ht="20.25" x14ac:dyDescent="0.3">
      <c r="A28" s="151" t="s">
        <v>727</v>
      </c>
      <c r="D28" s="158" t="s">
        <v>725</v>
      </c>
      <c r="E28" s="202">
        <f>E33+F33</f>
        <v>-2242.4160000000002</v>
      </c>
      <c r="F28" s="152" t="s">
        <v>726</v>
      </c>
    </row>
    <row r="30" spans="1:7" x14ac:dyDescent="0.2">
      <c r="F30" s="157">
        <v>0.35</v>
      </c>
    </row>
    <row r="31" spans="1:7" ht="54.75" thickBot="1" x14ac:dyDescent="0.3">
      <c r="A31" s="203" t="s">
        <v>49</v>
      </c>
      <c r="B31" s="203" t="s">
        <v>374</v>
      </c>
      <c r="C31" s="204" t="s">
        <v>53</v>
      </c>
      <c r="D31" s="204" t="s">
        <v>52</v>
      </c>
      <c r="E31" s="204" t="s">
        <v>50</v>
      </c>
      <c r="F31" s="204" t="s">
        <v>43</v>
      </c>
      <c r="G31" s="204" t="s">
        <v>51</v>
      </c>
    </row>
    <row r="33" spans="1:7" x14ac:dyDescent="0.2">
      <c r="A33" s="152" t="s">
        <v>40</v>
      </c>
      <c r="B33" s="152" t="s">
        <v>364</v>
      </c>
      <c r="C33" s="156">
        <f>'Ers Stig 1-14'!B10</f>
        <v>4960</v>
      </c>
      <c r="D33" s="155">
        <v>0.1021</v>
      </c>
      <c r="E33" s="202">
        <f>-D33*C33</f>
        <v>-506.416</v>
      </c>
      <c r="F33" s="202">
        <f>'Ers Stig 1-14'!B11</f>
        <v>-1736</v>
      </c>
      <c r="G33" s="154">
        <f>C33+F33</f>
        <v>3224</v>
      </c>
    </row>
    <row r="34" spans="1:7" x14ac:dyDescent="0.2">
      <c r="C34" s="156"/>
      <c r="D34" s="155"/>
      <c r="E34" s="202"/>
      <c r="F34" s="202"/>
      <c r="G34" s="154">
        <f>C34+F34</f>
        <v>0</v>
      </c>
    </row>
    <row r="35" spans="1:7" ht="15" thickBot="1" x14ac:dyDescent="0.25">
      <c r="A35" s="245"/>
      <c r="B35" s="246"/>
      <c r="C35" s="247"/>
      <c r="D35" s="248"/>
      <c r="E35" s="311"/>
      <c r="F35" s="312"/>
      <c r="G35" s="249"/>
    </row>
    <row r="36" spans="1:7" ht="15" thickTop="1" x14ac:dyDescent="0.2">
      <c r="A36" s="152" t="s">
        <v>35</v>
      </c>
      <c r="C36" s="154">
        <f>SUM(C33:C35)</f>
        <v>4960</v>
      </c>
      <c r="E36" s="202">
        <f>SUM(E33:E35)</f>
        <v>-506.416</v>
      </c>
      <c r="F36" s="202">
        <f>SUM(F33:F35)</f>
        <v>-1736</v>
      </c>
      <c r="G36" s="154">
        <f>SUM(G33:G35)</f>
        <v>3224</v>
      </c>
    </row>
    <row r="38" spans="1:7" x14ac:dyDescent="0.2">
      <c r="C38" s="154"/>
      <c r="E38" s="154"/>
      <c r="F38" s="154"/>
    </row>
    <row r="39" spans="1:7" ht="20.25" hidden="1" x14ac:dyDescent="0.3">
      <c r="A39" s="404" t="s">
        <v>558</v>
      </c>
      <c r="B39" s="392"/>
      <c r="C39" s="392"/>
      <c r="D39" s="405" t="s">
        <v>391</v>
      </c>
      <c r="E39" s="202">
        <f>E51+F51</f>
        <v>-13956.13</v>
      </c>
      <c r="F39" s="152" t="s">
        <v>654</v>
      </c>
    </row>
    <row r="40" spans="1:7" hidden="1" x14ac:dyDescent="0.2">
      <c r="A40" s="392"/>
      <c r="B40" s="392"/>
      <c r="C40" s="392"/>
      <c r="D40" s="392"/>
    </row>
    <row r="41" spans="1:7" hidden="1" x14ac:dyDescent="0.2">
      <c r="A41" s="392"/>
      <c r="B41" s="392"/>
      <c r="C41" s="392"/>
      <c r="D41" s="392"/>
      <c r="F41" s="157">
        <v>0.35</v>
      </c>
    </row>
    <row r="42" spans="1:7" ht="54.75" hidden="1" thickBot="1" x14ac:dyDescent="0.3">
      <c r="A42" s="406" t="s">
        <v>49</v>
      </c>
      <c r="B42" s="406" t="s">
        <v>374</v>
      </c>
      <c r="C42" s="407" t="s">
        <v>53</v>
      </c>
      <c r="D42" s="407" t="s">
        <v>52</v>
      </c>
      <c r="E42" s="204" t="s">
        <v>50</v>
      </c>
      <c r="F42" s="204" t="s">
        <v>43</v>
      </c>
      <c r="G42" s="204" t="s">
        <v>51</v>
      </c>
    </row>
    <row r="43" spans="1:7" hidden="1" x14ac:dyDescent="0.2">
      <c r="A43" s="392"/>
      <c r="B43" s="392"/>
      <c r="C43" s="392"/>
      <c r="D43" s="392"/>
    </row>
    <row r="44" spans="1:7" hidden="1" x14ac:dyDescent="0.2">
      <c r="A44" s="408" t="s">
        <v>392</v>
      </c>
      <c r="B44" s="392" t="s">
        <v>393</v>
      </c>
      <c r="C44" s="409">
        <f>Arvoden2014!C7</f>
        <v>6000</v>
      </c>
      <c r="D44" s="410">
        <v>0.1021</v>
      </c>
      <c r="E44" s="202">
        <f>-(D44*C44)+1</f>
        <v>-611.6</v>
      </c>
      <c r="F44" s="254">
        <f>-$F$4*C44</f>
        <v>-2100</v>
      </c>
      <c r="G44" s="154">
        <f t="shared" ref="G44:G48" si="3">C44+F44</f>
        <v>3900</v>
      </c>
    </row>
    <row r="45" spans="1:7" hidden="1" x14ac:dyDescent="0.2">
      <c r="A45" s="408" t="s">
        <v>45</v>
      </c>
      <c r="B45" s="392" t="s">
        <v>395</v>
      </c>
      <c r="C45" s="409">
        <f>Arvoden2014!C8</f>
        <v>4600</v>
      </c>
      <c r="D45" s="410">
        <v>0.31419999999999998</v>
      </c>
      <c r="E45" s="202">
        <f t="shared" ref="E45:E48" si="4">-D45*C45</f>
        <v>-1445.32</v>
      </c>
      <c r="F45" s="254">
        <f t="shared" ref="F45:F47" si="5">-$F$4*C45</f>
        <v>-1610</v>
      </c>
      <c r="G45" s="154">
        <f t="shared" si="3"/>
        <v>2990</v>
      </c>
    </row>
    <row r="46" spans="1:7" hidden="1" x14ac:dyDescent="0.2">
      <c r="A46" s="408" t="s">
        <v>99</v>
      </c>
      <c r="B46" s="392" t="s">
        <v>394</v>
      </c>
      <c r="C46" s="409">
        <f>Arvoden2014!C9</f>
        <v>3200</v>
      </c>
      <c r="D46" s="410">
        <v>0.31419999999999998</v>
      </c>
      <c r="E46" s="202">
        <f t="shared" si="4"/>
        <v>-1005.4399999999999</v>
      </c>
      <c r="F46" s="254">
        <f t="shared" si="5"/>
        <v>-1120</v>
      </c>
      <c r="G46" s="154">
        <f t="shared" si="3"/>
        <v>2080</v>
      </c>
    </row>
    <row r="47" spans="1:7" hidden="1" x14ac:dyDescent="0.2">
      <c r="A47" s="392" t="s">
        <v>40</v>
      </c>
      <c r="B47" s="392" t="s">
        <v>364</v>
      </c>
      <c r="C47" s="409">
        <v>12400</v>
      </c>
      <c r="D47" s="410">
        <v>0.1021</v>
      </c>
      <c r="E47" s="202">
        <f t="shared" si="4"/>
        <v>-1266.04</v>
      </c>
      <c r="F47" s="254">
        <f t="shared" si="5"/>
        <v>-4340</v>
      </c>
      <c r="G47" s="154">
        <f t="shared" si="3"/>
        <v>8060</v>
      </c>
    </row>
    <row r="48" spans="1:7" hidden="1" x14ac:dyDescent="0.2">
      <c r="A48" s="392" t="str">
        <f>'Ers Björn 2-14'!B4</f>
        <v>Björn Norrblom</v>
      </c>
      <c r="B48" s="392" t="str">
        <f>'Ers Björn 2-14'!B5</f>
        <v>470720-1416</v>
      </c>
      <c r="C48" s="409">
        <f>'Ers Björn 1-14'!B10+'Ers Björn 2-14'!B10</f>
        <v>1300</v>
      </c>
      <c r="D48" s="410">
        <v>0.1021</v>
      </c>
      <c r="E48" s="202">
        <f t="shared" si="4"/>
        <v>-132.72999999999999</v>
      </c>
      <c r="F48" s="202">
        <f>'Ers Björn 1-14'!B11+'Ers Björn 2-14'!B11</f>
        <v>-325</v>
      </c>
      <c r="G48" s="154">
        <f t="shared" si="3"/>
        <v>975</v>
      </c>
    </row>
    <row r="49" spans="1:7" hidden="1" x14ac:dyDescent="0.2">
      <c r="A49" s="392"/>
      <c r="B49" s="392"/>
      <c r="C49" s="409"/>
      <c r="D49" s="410"/>
      <c r="E49" s="202"/>
      <c r="F49" s="254"/>
      <c r="G49" s="154"/>
    </row>
    <row r="50" spans="1:7" ht="15" hidden="1" thickBot="1" x14ac:dyDescent="0.25">
      <c r="A50" s="411"/>
      <c r="B50" s="412"/>
      <c r="C50" s="413"/>
      <c r="D50" s="414"/>
      <c r="E50" s="249"/>
      <c r="F50" s="246"/>
      <c r="G50" s="249"/>
    </row>
    <row r="51" spans="1:7" ht="15" hidden="1" thickTop="1" x14ac:dyDescent="0.2">
      <c r="A51" s="392" t="s">
        <v>35</v>
      </c>
      <c r="B51" s="392"/>
      <c r="C51" s="415">
        <f>SUM(C44:C50)</f>
        <v>27500</v>
      </c>
      <c r="D51" s="392"/>
      <c r="E51" s="202">
        <f>SUM(E44:E50)</f>
        <v>-4461.1299999999992</v>
      </c>
      <c r="F51" s="202">
        <f>SUM(F44:F50)</f>
        <v>-9495</v>
      </c>
      <c r="G51" s="154">
        <f>SUM(G44:G50)</f>
        <v>18005</v>
      </c>
    </row>
    <row r="52" spans="1:7" hidden="1" x14ac:dyDescent="0.2">
      <c r="A52" s="392"/>
      <c r="B52" s="392"/>
      <c r="C52" s="409">
        <f>C44+C47+C48</f>
        <v>19700</v>
      </c>
      <c r="D52" s="392"/>
    </row>
    <row r="53" spans="1:7" hidden="1" x14ac:dyDescent="0.2">
      <c r="A53" s="392"/>
      <c r="B53" s="392"/>
      <c r="C53" s="409"/>
      <c r="D53" s="392"/>
    </row>
    <row r="54" spans="1:7" ht="20.25" hidden="1" x14ac:dyDescent="0.3">
      <c r="A54" s="404" t="s">
        <v>558</v>
      </c>
      <c r="B54" s="392"/>
      <c r="C54" s="392"/>
      <c r="D54" s="405" t="s">
        <v>669</v>
      </c>
      <c r="E54" s="202">
        <f>E62+F62</f>
        <v>-6786.9251999999997</v>
      </c>
      <c r="F54" s="152" t="s">
        <v>685</v>
      </c>
    </row>
    <row r="55" spans="1:7" hidden="1" x14ac:dyDescent="0.2">
      <c r="A55" s="392"/>
      <c r="B55" s="392"/>
      <c r="C55" s="392"/>
      <c r="D55" s="392"/>
    </row>
    <row r="56" spans="1:7" hidden="1" x14ac:dyDescent="0.2">
      <c r="A56" s="392"/>
      <c r="B56" s="392"/>
      <c r="C56" s="392"/>
      <c r="D56" s="392"/>
      <c r="F56" s="157">
        <v>0.35</v>
      </c>
    </row>
    <row r="57" spans="1:7" ht="54.75" hidden="1" thickBot="1" x14ac:dyDescent="0.3">
      <c r="A57" s="406" t="s">
        <v>49</v>
      </c>
      <c r="B57" s="406" t="s">
        <v>374</v>
      </c>
      <c r="C57" s="407" t="s">
        <v>53</v>
      </c>
      <c r="D57" s="407" t="s">
        <v>52</v>
      </c>
      <c r="E57" s="204" t="s">
        <v>50</v>
      </c>
      <c r="F57" s="204" t="s">
        <v>43</v>
      </c>
      <c r="G57" s="204" t="s">
        <v>51</v>
      </c>
    </row>
    <row r="58" spans="1:7" hidden="1" x14ac:dyDescent="0.2">
      <c r="A58" s="392"/>
      <c r="B58" s="392"/>
      <c r="C58" s="392"/>
      <c r="D58" s="392"/>
    </row>
    <row r="59" spans="1:7" hidden="1" x14ac:dyDescent="0.2">
      <c r="A59" s="392" t="s">
        <v>40</v>
      </c>
      <c r="B59" s="392" t="s">
        <v>364</v>
      </c>
      <c r="C59" s="409">
        <f>'Ers Stig 3-14'!B10</f>
        <v>7905</v>
      </c>
      <c r="D59" s="410">
        <v>0.1021</v>
      </c>
      <c r="E59" s="202">
        <f>-D59*C59</f>
        <v>-807.10050000000001</v>
      </c>
      <c r="F59" s="202">
        <f>'Ers Stig 3-14'!B11</f>
        <v>-2766.75</v>
      </c>
      <c r="G59" s="154">
        <f>C59+F59</f>
        <v>5138.25</v>
      </c>
    </row>
    <row r="60" spans="1:7" hidden="1" x14ac:dyDescent="0.2">
      <c r="A60" s="392" t="s">
        <v>40</v>
      </c>
      <c r="B60" s="392" t="s">
        <v>364</v>
      </c>
      <c r="C60" s="409">
        <f>'Ers Stig 4-14'!B10+'Ers Stig 4-14'!B14</f>
        <v>7107</v>
      </c>
      <c r="D60" s="410">
        <v>0.1021</v>
      </c>
      <c r="E60" s="202">
        <f>-D60*C60</f>
        <v>-725.62469999999996</v>
      </c>
      <c r="F60" s="202">
        <f>'Ers Stig 4-14'!B11+'Ers Stig 4-14'!B15</f>
        <v>-2487.4499999999998</v>
      </c>
      <c r="G60" s="154">
        <f>C60+F60</f>
        <v>4619.55</v>
      </c>
    </row>
    <row r="61" spans="1:7" ht="15" hidden="1" thickBot="1" x14ac:dyDescent="0.25">
      <c r="A61" s="411"/>
      <c r="B61" s="412"/>
      <c r="C61" s="413"/>
      <c r="D61" s="414"/>
      <c r="E61" s="311"/>
      <c r="F61" s="312"/>
      <c r="G61" s="249"/>
    </row>
    <row r="62" spans="1:7" ht="15" hidden="1" thickTop="1" x14ac:dyDescent="0.2">
      <c r="A62" s="392" t="s">
        <v>35</v>
      </c>
      <c r="B62" s="392"/>
      <c r="C62" s="415">
        <f>SUM(C59:C61)</f>
        <v>15012</v>
      </c>
      <c r="D62" s="392"/>
      <c r="E62" s="202">
        <f>SUM(E59:E61)</f>
        <v>-1532.7251999999999</v>
      </c>
      <c r="F62" s="202">
        <f>SUM(F59:F61)</f>
        <v>-5254.2</v>
      </c>
      <c r="G62" s="154">
        <f>SUM(G59:G61)</f>
        <v>9757.7999999999993</v>
      </c>
    </row>
    <row r="63" spans="1:7" hidden="1" x14ac:dyDescent="0.2">
      <c r="A63" s="392"/>
      <c r="B63" s="392"/>
      <c r="C63" s="392"/>
      <c r="D63" s="392"/>
    </row>
    <row r="64" spans="1:7" hidden="1" x14ac:dyDescent="0.2">
      <c r="A64" s="392" t="s">
        <v>694</v>
      </c>
      <c r="B64" s="392"/>
      <c r="C64" s="409">
        <f>C36+C47+C62</f>
        <v>32372</v>
      </c>
      <c r="D64" s="392"/>
      <c r="E64" s="154">
        <f>E36+E47+E62</f>
        <v>-3305.1812</v>
      </c>
      <c r="F64" s="154">
        <f>F36+F47+F62</f>
        <v>-11330.2</v>
      </c>
    </row>
    <row r="65" spans="1:6" hidden="1" x14ac:dyDescent="0.2">
      <c r="A65" s="392"/>
      <c r="B65" s="392"/>
      <c r="C65" s="392"/>
      <c r="D65" s="392"/>
    </row>
    <row r="66" spans="1:6" hidden="1" x14ac:dyDescent="0.2">
      <c r="A66" s="392" t="s">
        <v>695</v>
      </c>
      <c r="B66" s="392"/>
      <c r="C66" s="415">
        <f>C36+C51+C62</f>
        <v>47472</v>
      </c>
      <c r="D66" s="415">
        <f t="shared" ref="D66:F66" si="6">D36+D51+D62</f>
        <v>0</v>
      </c>
      <c r="E66" s="154">
        <f t="shared" si="6"/>
        <v>-6500.2711999999992</v>
      </c>
      <c r="F66" s="154">
        <f t="shared" si="6"/>
        <v>-16485.2</v>
      </c>
    </row>
  </sheetData>
  <pageMargins left="0.70866141732283472" right="0.70866141732283472" top="0.74803149606299213" bottom="0.74803149606299213" header="0.31496062992125984" footer="0.31496062992125984"/>
  <pageSetup orientation="landscape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workbookViewId="0">
      <selection activeCell="C20" sqref="C20"/>
    </sheetView>
  </sheetViews>
  <sheetFormatPr defaultRowHeight="15" x14ac:dyDescent="0.25"/>
  <cols>
    <col min="1" max="1" width="18.7109375" customWidth="1"/>
    <col min="2" max="2" width="14" customWidth="1"/>
    <col min="3" max="3" width="15.85546875" customWidth="1"/>
    <col min="4" max="4" width="18" customWidth="1"/>
    <col min="5" max="5" width="17" customWidth="1"/>
    <col min="6" max="6" width="12.7109375" customWidth="1"/>
  </cols>
  <sheetData>
    <row r="1" spans="1:5" x14ac:dyDescent="0.25">
      <c r="E1" s="22">
        <v>41876</v>
      </c>
    </row>
    <row r="3" spans="1:5" x14ac:dyDescent="0.25">
      <c r="A3" s="172" t="s">
        <v>339</v>
      </c>
      <c r="B3" t="s">
        <v>343</v>
      </c>
      <c r="C3" t="s">
        <v>344</v>
      </c>
      <c r="D3" t="s">
        <v>341</v>
      </c>
    </row>
    <row r="4" spans="1:5" x14ac:dyDescent="0.25">
      <c r="A4" s="173" t="s">
        <v>396</v>
      </c>
      <c r="B4" s="174">
        <v>17</v>
      </c>
      <c r="C4" s="174">
        <v>25500</v>
      </c>
      <c r="D4" s="174">
        <v>0</v>
      </c>
    </row>
    <row r="5" spans="1:5" x14ac:dyDescent="0.25">
      <c r="A5" s="173" t="s">
        <v>397</v>
      </c>
      <c r="B5" s="174">
        <v>4</v>
      </c>
      <c r="C5" s="174">
        <v>6000</v>
      </c>
      <c r="D5" s="174">
        <v>0</v>
      </c>
    </row>
    <row r="6" spans="1:5" x14ac:dyDescent="0.25">
      <c r="A6" s="173" t="s">
        <v>398</v>
      </c>
      <c r="B6" s="174">
        <v>8</v>
      </c>
      <c r="C6" s="174">
        <v>12000</v>
      </c>
      <c r="D6" s="174">
        <v>0</v>
      </c>
    </row>
    <row r="7" spans="1:5" x14ac:dyDescent="0.25">
      <c r="A7" s="173" t="s">
        <v>399</v>
      </c>
      <c r="B7" s="174">
        <v>12</v>
      </c>
      <c r="C7" s="174">
        <v>18000</v>
      </c>
      <c r="D7" s="174">
        <v>0</v>
      </c>
    </row>
    <row r="8" spans="1:5" x14ac:dyDescent="0.25">
      <c r="A8" s="173" t="s">
        <v>400</v>
      </c>
      <c r="B8" s="174">
        <v>4</v>
      </c>
      <c r="C8" s="174">
        <v>6000</v>
      </c>
      <c r="D8" s="174">
        <v>0</v>
      </c>
    </row>
    <row r="9" spans="1:5" x14ac:dyDescent="0.25">
      <c r="A9" s="173" t="s">
        <v>401</v>
      </c>
      <c r="B9" s="174">
        <v>2</v>
      </c>
      <c r="C9" s="174">
        <v>3000</v>
      </c>
      <c r="D9" s="174">
        <v>0</v>
      </c>
    </row>
    <row r="10" spans="1:5" x14ac:dyDescent="0.25">
      <c r="A10" s="173" t="s">
        <v>402</v>
      </c>
      <c r="B10" s="174">
        <v>4</v>
      </c>
      <c r="C10" s="174">
        <v>6000</v>
      </c>
      <c r="D10" s="174">
        <v>0</v>
      </c>
    </row>
    <row r="11" spans="1:5" x14ac:dyDescent="0.25">
      <c r="A11" s="173" t="s">
        <v>403</v>
      </c>
      <c r="B11" s="174">
        <v>12</v>
      </c>
      <c r="C11" s="174">
        <v>18000.599999999999</v>
      </c>
      <c r="D11" s="174">
        <v>0</v>
      </c>
    </row>
    <row r="12" spans="1:5" x14ac:dyDescent="0.25">
      <c r="A12" s="173" t="s">
        <v>405</v>
      </c>
      <c r="B12" s="174">
        <v>13</v>
      </c>
      <c r="C12" s="174">
        <v>19500</v>
      </c>
      <c r="D12" s="174">
        <v>0</v>
      </c>
    </row>
    <row r="13" spans="1:5" x14ac:dyDescent="0.25">
      <c r="A13" s="173" t="s">
        <v>406</v>
      </c>
      <c r="B13" s="174">
        <v>2</v>
      </c>
      <c r="C13" s="174">
        <v>1750</v>
      </c>
      <c r="D13" s="174">
        <v>0</v>
      </c>
    </row>
    <row r="14" spans="1:5" x14ac:dyDescent="0.25">
      <c r="A14" s="173" t="s">
        <v>407</v>
      </c>
      <c r="B14" s="174">
        <v>4</v>
      </c>
      <c r="C14" s="174">
        <v>6000</v>
      </c>
      <c r="D14" s="174">
        <v>0</v>
      </c>
    </row>
    <row r="15" spans="1:5" x14ac:dyDescent="0.25">
      <c r="A15" s="173" t="s">
        <v>408</v>
      </c>
      <c r="B15" s="174">
        <v>12</v>
      </c>
      <c r="C15" s="174">
        <v>18000</v>
      </c>
      <c r="D15" s="174">
        <v>0</v>
      </c>
    </row>
    <row r="16" spans="1:5" x14ac:dyDescent="0.25">
      <c r="A16" s="173" t="s">
        <v>331</v>
      </c>
      <c r="B16" s="174">
        <v>1</v>
      </c>
      <c r="C16" s="174">
        <v>1500</v>
      </c>
      <c r="D16" s="174">
        <v>0</v>
      </c>
    </row>
    <row r="17" spans="1:6" x14ac:dyDescent="0.25">
      <c r="A17" s="173" t="s">
        <v>409</v>
      </c>
      <c r="B17" s="174">
        <v>7</v>
      </c>
      <c r="C17" s="174">
        <v>10500</v>
      </c>
      <c r="D17" s="174">
        <v>0</v>
      </c>
    </row>
    <row r="18" spans="1:6" x14ac:dyDescent="0.25">
      <c r="A18" s="173" t="s">
        <v>410</v>
      </c>
      <c r="B18" s="174">
        <v>6</v>
      </c>
      <c r="C18" s="174">
        <v>9000</v>
      </c>
      <c r="D18" s="174">
        <v>0</v>
      </c>
    </row>
    <row r="19" spans="1:6" x14ac:dyDescent="0.25">
      <c r="A19" s="173" t="s">
        <v>411</v>
      </c>
      <c r="B19" s="174">
        <v>9</v>
      </c>
      <c r="C19" s="174">
        <v>13500</v>
      </c>
      <c r="D19" s="174">
        <v>0</v>
      </c>
    </row>
    <row r="20" spans="1:6" x14ac:dyDescent="0.25">
      <c r="A20" s="173" t="s">
        <v>340</v>
      </c>
      <c r="B20" s="174">
        <v>117</v>
      </c>
      <c r="C20" s="174">
        <v>174250.6</v>
      </c>
      <c r="D20" s="174">
        <v>0</v>
      </c>
    </row>
    <row r="21" spans="1:6" hidden="1" x14ac:dyDescent="0.25">
      <c r="A21" s="306"/>
      <c r="B21" s="305"/>
      <c r="C21" s="307"/>
      <c r="D21">
        <f>13</f>
        <v>13</v>
      </c>
      <c r="E21" s="174">
        <f>Medlemsavgifter!F124+Medlemsavgifter!I124</f>
        <v>174250.6</v>
      </c>
      <c r="F21" s="174">
        <f>E21+F25</f>
        <v>174100.6</v>
      </c>
    </row>
    <row r="22" spans="1:6" hidden="1" x14ac:dyDescent="0.25">
      <c r="A22" s="306"/>
      <c r="B22" s="305"/>
      <c r="C22" s="307"/>
    </row>
    <row r="23" spans="1:6" hidden="1" x14ac:dyDescent="0.25">
      <c r="D23" s="197"/>
    </row>
    <row r="24" spans="1:6" hidden="1" x14ac:dyDescent="0.25">
      <c r="A24" s="12" t="s">
        <v>420</v>
      </c>
      <c r="B24" s="189"/>
      <c r="C24" s="189"/>
      <c r="D24" s="190"/>
      <c r="E24" s="190"/>
      <c r="F24" s="191"/>
    </row>
    <row r="25" spans="1:6" hidden="1" x14ac:dyDescent="0.25">
      <c r="A25" s="195">
        <v>13</v>
      </c>
      <c r="B25" s="152" t="s">
        <v>396</v>
      </c>
      <c r="C25" s="162" t="s">
        <v>222</v>
      </c>
      <c r="D25" s="167" t="s">
        <v>236</v>
      </c>
      <c r="E25" s="196">
        <v>1700</v>
      </c>
      <c r="F25" s="194">
        <f>-150</f>
        <v>-150</v>
      </c>
    </row>
    <row r="26" spans="1:6" hidden="1" x14ac:dyDescent="0.25">
      <c r="A26" s="195">
        <v>3</v>
      </c>
      <c r="B26" s="152" t="s">
        <v>409</v>
      </c>
      <c r="C26" s="162" t="s">
        <v>196</v>
      </c>
      <c r="D26" s="167" t="s">
        <v>416</v>
      </c>
      <c r="E26" s="196">
        <v>1900</v>
      </c>
      <c r="F26" s="194">
        <f>50</f>
        <v>50</v>
      </c>
    </row>
    <row r="27" spans="1:6" s="252" customFormat="1" hidden="1" x14ac:dyDescent="0.25">
      <c r="A27" s="195" t="s">
        <v>334</v>
      </c>
      <c r="B27" s="198" t="s">
        <v>421</v>
      </c>
      <c r="C27" s="192" t="s">
        <v>335</v>
      </c>
      <c r="D27" s="193" t="s">
        <v>336</v>
      </c>
      <c r="E27" s="196">
        <v>1800</v>
      </c>
      <c r="F27" s="194">
        <f>-50</f>
        <v>-50</v>
      </c>
    </row>
    <row r="28" spans="1:6" hidden="1" x14ac:dyDescent="0.25">
      <c r="A28" s="199"/>
      <c r="B28" s="200"/>
      <c r="C28" s="200"/>
      <c r="D28" s="201"/>
      <c r="E28" s="200"/>
      <c r="F28" s="298">
        <f>SUM(F25:F27)</f>
        <v>-150</v>
      </c>
    </row>
    <row r="29" spans="1:6" hidden="1" x14ac:dyDescent="0.25"/>
  </sheetData>
  <pageMargins left="0.70866141732283472" right="0.70866141732283472" top="0.74803149606299213" bottom="0.74803149606299213" header="0.31496062992125984" footer="0.31496062992125984"/>
  <pageSetup orientation="portrait" horizontalDpi="4294967293" verticalDpi="4294967293" r:id="rId2"/>
  <headerFooter>
    <oddHeader>&amp;CMedlemsavgifter 2013-2014 Vämlinge Södra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3:J126"/>
  <sheetViews>
    <sheetView topLeftCell="C91" workbookViewId="0">
      <selection activeCell="F124" sqref="F124"/>
    </sheetView>
  </sheetViews>
  <sheetFormatPr defaultRowHeight="14.25" x14ac:dyDescent="0.2"/>
  <cols>
    <col min="1" max="1" width="9.140625" style="165"/>
    <col min="2" max="2" width="18" style="152" hidden="1" customWidth="1"/>
    <col min="3" max="3" width="19.28515625" style="152" customWidth="1"/>
    <col min="4" max="4" width="20.7109375" style="162" customWidth="1"/>
    <col min="5" max="5" width="32.42578125" style="167" customWidth="1"/>
    <col min="6" max="6" width="16.5703125" style="187" customWidth="1"/>
    <col min="7" max="7" width="17.5703125" style="187" customWidth="1"/>
    <col min="8" max="8" width="17.140625" style="167" customWidth="1"/>
    <col min="9" max="9" width="17.140625" style="170" customWidth="1"/>
    <col min="10" max="10" width="19.7109375" style="250" customWidth="1"/>
    <col min="11" max="16384" width="9.140625" style="152"/>
  </cols>
  <sheetData>
    <row r="3" spans="1:10" ht="20.25" x14ac:dyDescent="0.3">
      <c r="A3" s="164" t="s">
        <v>505</v>
      </c>
      <c r="D3" s="161"/>
    </row>
    <row r="6" spans="1:10" ht="15.75" thickBot="1" x14ac:dyDescent="0.3">
      <c r="A6" s="166" t="s">
        <v>115</v>
      </c>
      <c r="B6" s="159" t="s">
        <v>412</v>
      </c>
      <c r="C6" s="159" t="s">
        <v>386</v>
      </c>
      <c r="D6" s="163" t="s">
        <v>139</v>
      </c>
      <c r="E6" s="168" t="s">
        <v>49</v>
      </c>
      <c r="F6" s="274" t="s">
        <v>342</v>
      </c>
      <c r="G6" s="274" t="s">
        <v>112</v>
      </c>
      <c r="H6" s="168" t="s">
        <v>20</v>
      </c>
      <c r="I6" s="171" t="s">
        <v>338</v>
      </c>
      <c r="J6" s="302" t="s">
        <v>337</v>
      </c>
    </row>
    <row r="7" spans="1:10" x14ac:dyDescent="0.2">
      <c r="A7" s="165">
        <v>1</v>
      </c>
      <c r="B7" s="152" t="s">
        <v>239</v>
      </c>
      <c r="C7" s="187" t="s">
        <v>397</v>
      </c>
      <c r="D7" s="271" t="s">
        <v>240</v>
      </c>
      <c r="E7" s="188" t="s">
        <v>366</v>
      </c>
      <c r="F7" s="187">
        <v>1500</v>
      </c>
      <c r="G7" s="272">
        <v>41880</v>
      </c>
      <c r="H7" s="152">
        <v>45</v>
      </c>
      <c r="I7" s="170">
        <f>IF(F7&lt;=100,1500,0)</f>
        <v>0</v>
      </c>
      <c r="J7" s="303"/>
    </row>
    <row r="8" spans="1:10" x14ac:dyDescent="0.2">
      <c r="A8" s="165">
        <v>3</v>
      </c>
      <c r="B8" s="152" t="s">
        <v>239</v>
      </c>
      <c r="C8" s="187" t="s">
        <v>397</v>
      </c>
      <c r="D8" s="271" t="s">
        <v>241</v>
      </c>
      <c r="E8" s="188" t="s">
        <v>244</v>
      </c>
      <c r="F8" s="187">
        <v>1500</v>
      </c>
      <c r="G8" s="272">
        <v>41873</v>
      </c>
      <c r="H8" s="152">
        <v>39</v>
      </c>
      <c r="I8" s="170">
        <f t="shared" ref="I8:I70" si="0">IF(F8&lt;=100,1500,0)</f>
        <v>0</v>
      </c>
    </row>
    <row r="9" spans="1:10" x14ac:dyDescent="0.2">
      <c r="A9" s="165">
        <v>4</v>
      </c>
      <c r="B9" s="152" t="s">
        <v>239</v>
      </c>
      <c r="C9" s="187" t="s">
        <v>397</v>
      </c>
      <c r="D9" s="271" t="s">
        <v>242</v>
      </c>
      <c r="E9" s="188" t="s">
        <v>245</v>
      </c>
      <c r="F9" s="187">
        <v>1500</v>
      </c>
      <c r="G9" s="272">
        <v>41878</v>
      </c>
      <c r="H9" s="152">
        <v>42</v>
      </c>
      <c r="I9" s="170">
        <f t="shared" si="0"/>
        <v>0</v>
      </c>
    </row>
    <row r="10" spans="1:10" x14ac:dyDescent="0.2">
      <c r="A10" s="165">
        <v>5</v>
      </c>
      <c r="B10" s="152" t="s">
        <v>239</v>
      </c>
      <c r="C10" s="187" t="s">
        <v>397</v>
      </c>
      <c r="D10" s="271" t="s">
        <v>243</v>
      </c>
      <c r="E10" s="188" t="s">
        <v>246</v>
      </c>
      <c r="F10" s="187">
        <v>1500</v>
      </c>
      <c r="G10" s="272">
        <v>41841</v>
      </c>
      <c r="H10" s="152">
        <v>23</v>
      </c>
      <c r="I10" s="170">
        <f t="shared" si="0"/>
        <v>0</v>
      </c>
    </row>
    <row r="11" spans="1:10" x14ac:dyDescent="0.2">
      <c r="A11" s="165">
        <v>1</v>
      </c>
      <c r="B11" s="152" t="s">
        <v>256</v>
      </c>
      <c r="C11" s="187" t="s">
        <v>398</v>
      </c>
      <c r="D11" s="271" t="s">
        <v>257</v>
      </c>
      <c r="E11" s="188" t="s">
        <v>670</v>
      </c>
      <c r="F11" s="187">
        <v>1500</v>
      </c>
      <c r="G11" s="272">
        <v>41880</v>
      </c>
      <c r="H11" s="187">
        <v>45</v>
      </c>
      <c r="I11" s="396">
        <f t="shared" si="0"/>
        <v>0</v>
      </c>
      <c r="J11" s="304"/>
    </row>
    <row r="12" spans="1:10" x14ac:dyDescent="0.2">
      <c r="A12" s="165">
        <v>4</v>
      </c>
      <c r="B12" s="152" t="s">
        <v>256</v>
      </c>
      <c r="C12" s="187" t="s">
        <v>398</v>
      </c>
      <c r="D12" s="271" t="s">
        <v>258</v>
      </c>
      <c r="E12" s="188" t="s">
        <v>265</v>
      </c>
      <c r="F12" s="187">
        <v>1500</v>
      </c>
      <c r="G12" s="272">
        <v>41877</v>
      </c>
      <c r="H12" s="152">
        <v>41</v>
      </c>
      <c r="I12" s="170">
        <f t="shared" si="0"/>
        <v>0</v>
      </c>
    </row>
    <row r="13" spans="1:10" x14ac:dyDescent="0.2">
      <c r="A13" s="165">
        <v>5</v>
      </c>
      <c r="B13" s="152" t="s">
        <v>256</v>
      </c>
      <c r="C13" s="187" t="s">
        <v>398</v>
      </c>
      <c r="D13" s="271" t="s">
        <v>259</v>
      </c>
      <c r="E13" s="188" t="s">
        <v>98</v>
      </c>
      <c r="F13" s="187">
        <v>1500</v>
      </c>
      <c r="G13" s="272">
        <v>41877</v>
      </c>
      <c r="H13" s="187">
        <v>41</v>
      </c>
      <c r="I13" s="396">
        <f t="shared" si="0"/>
        <v>0</v>
      </c>
    </row>
    <row r="14" spans="1:10" x14ac:dyDescent="0.2">
      <c r="A14" s="165">
        <v>6</v>
      </c>
      <c r="B14" s="152" t="s">
        <v>256</v>
      </c>
      <c r="C14" s="187" t="s">
        <v>398</v>
      </c>
      <c r="D14" s="271" t="s">
        <v>260</v>
      </c>
      <c r="E14" s="188" t="s">
        <v>266</v>
      </c>
      <c r="F14" s="187">
        <v>1500</v>
      </c>
      <c r="G14" s="272">
        <v>41883</v>
      </c>
      <c r="H14" s="152">
        <v>49</v>
      </c>
      <c r="I14" s="170">
        <f t="shared" si="0"/>
        <v>0</v>
      </c>
    </row>
    <row r="15" spans="1:10" x14ac:dyDescent="0.2">
      <c r="A15" s="165">
        <v>7</v>
      </c>
      <c r="B15" s="152" t="s">
        <v>256</v>
      </c>
      <c r="C15" s="187" t="s">
        <v>398</v>
      </c>
      <c r="D15" s="271" t="s">
        <v>261</v>
      </c>
      <c r="E15" s="188" t="s">
        <v>417</v>
      </c>
      <c r="F15" s="187">
        <v>1500</v>
      </c>
      <c r="G15" s="272">
        <v>41849</v>
      </c>
      <c r="H15" s="152">
        <v>29</v>
      </c>
      <c r="I15" s="170">
        <f t="shared" si="0"/>
        <v>0</v>
      </c>
      <c r="J15" s="250" t="s">
        <v>418</v>
      </c>
    </row>
    <row r="16" spans="1:10" x14ac:dyDescent="0.2">
      <c r="A16" s="165">
        <v>9</v>
      </c>
      <c r="B16" s="152" t="s">
        <v>256</v>
      </c>
      <c r="C16" s="187" t="s">
        <v>398</v>
      </c>
      <c r="D16" s="271" t="s">
        <v>262</v>
      </c>
      <c r="E16" s="188" t="s">
        <v>267</v>
      </c>
      <c r="F16" s="187">
        <v>1500</v>
      </c>
      <c r="G16" s="272">
        <v>41851</v>
      </c>
      <c r="H16" s="152">
        <v>31</v>
      </c>
      <c r="I16" s="170">
        <f t="shared" si="0"/>
        <v>0</v>
      </c>
    </row>
    <row r="17" spans="1:10" x14ac:dyDescent="0.2">
      <c r="A17" s="165">
        <v>11</v>
      </c>
      <c r="B17" s="152" t="s">
        <v>256</v>
      </c>
      <c r="C17" s="187" t="s">
        <v>398</v>
      </c>
      <c r="D17" s="271" t="s">
        <v>263</v>
      </c>
      <c r="E17" s="188" t="s">
        <v>267</v>
      </c>
      <c r="F17" s="187">
        <v>1500</v>
      </c>
      <c r="G17" s="272">
        <v>41851</v>
      </c>
      <c r="H17" s="152">
        <v>31</v>
      </c>
      <c r="I17" s="170">
        <f t="shared" si="0"/>
        <v>0</v>
      </c>
    </row>
    <row r="18" spans="1:10" x14ac:dyDescent="0.2">
      <c r="A18" s="165">
        <v>13</v>
      </c>
      <c r="B18" s="152" t="s">
        <v>256</v>
      </c>
      <c r="C18" s="187" t="s">
        <v>398</v>
      </c>
      <c r="D18" s="271" t="s">
        <v>264</v>
      </c>
      <c r="E18" s="188" t="s">
        <v>268</v>
      </c>
      <c r="F18" s="187">
        <v>1500</v>
      </c>
      <c r="G18" s="272">
        <v>41880</v>
      </c>
      <c r="H18" s="152">
        <v>45</v>
      </c>
      <c r="I18" s="170">
        <f t="shared" si="0"/>
        <v>0</v>
      </c>
    </row>
    <row r="19" spans="1:10" x14ac:dyDescent="0.2">
      <c r="A19" s="165">
        <v>8</v>
      </c>
      <c r="B19" s="152" t="s">
        <v>194</v>
      </c>
      <c r="C19" s="187" t="s">
        <v>406</v>
      </c>
      <c r="D19" s="271" t="s">
        <v>142</v>
      </c>
      <c r="E19" s="169" t="s">
        <v>203</v>
      </c>
      <c r="F19" s="392">
        <v>250</v>
      </c>
      <c r="G19" s="393">
        <v>41880</v>
      </c>
      <c r="H19" s="392">
        <v>45</v>
      </c>
      <c r="I19" s="394">
        <f t="shared" si="0"/>
        <v>0</v>
      </c>
      <c r="J19" s="395" t="s">
        <v>745</v>
      </c>
    </row>
    <row r="20" spans="1:10" x14ac:dyDescent="0.2">
      <c r="A20" s="165">
        <v>35</v>
      </c>
      <c r="B20" s="152" t="s">
        <v>194</v>
      </c>
      <c r="C20" s="187" t="s">
        <v>406</v>
      </c>
      <c r="D20" s="271" t="s">
        <v>202</v>
      </c>
      <c r="E20" s="188" t="s">
        <v>415</v>
      </c>
      <c r="F20" s="187">
        <v>1500</v>
      </c>
      <c r="G20" s="272">
        <v>41880</v>
      </c>
      <c r="H20" s="152">
        <v>45</v>
      </c>
      <c r="I20" s="170">
        <f t="shared" si="0"/>
        <v>0</v>
      </c>
    </row>
    <row r="21" spans="1:10" x14ac:dyDescent="0.2">
      <c r="A21" s="165">
        <v>1</v>
      </c>
      <c r="B21" s="160" t="s">
        <v>116</v>
      </c>
      <c r="C21" s="273" t="s">
        <v>405</v>
      </c>
      <c r="D21" s="271" t="s">
        <v>114</v>
      </c>
      <c r="E21" s="188" t="s">
        <v>131</v>
      </c>
      <c r="F21" s="187">
        <v>1500</v>
      </c>
      <c r="G21" s="272">
        <v>41850</v>
      </c>
      <c r="H21" s="152">
        <v>30</v>
      </c>
      <c r="I21" s="170">
        <f t="shared" si="0"/>
        <v>0</v>
      </c>
    </row>
    <row r="22" spans="1:10" x14ac:dyDescent="0.2">
      <c r="A22" s="165">
        <v>2</v>
      </c>
      <c r="B22" s="160" t="s">
        <v>116</v>
      </c>
      <c r="C22" s="273" t="s">
        <v>405</v>
      </c>
      <c r="D22" s="271" t="s">
        <v>117</v>
      </c>
      <c r="E22" s="188" t="s">
        <v>132</v>
      </c>
      <c r="F22" s="187">
        <v>1500</v>
      </c>
      <c r="G22" s="272">
        <v>41878</v>
      </c>
      <c r="H22" s="152">
        <v>42</v>
      </c>
      <c r="I22" s="170">
        <f t="shared" si="0"/>
        <v>0</v>
      </c>
    </row>
    <row r="23" spans="1:10" x14ac:dyDescent="0.2">
      <c r="A23" s="165">
        <v>3</v>
      </c>
      <c r="B23" s="160" t="s">
        <v>116</v>
      </c>
      <c r="C23" s="273" t="s">
        <v>405</v>
      </c>
      <c r="D23" s="271" t="s">
        <v>118</v>
      </c>
      <c r="E23" s="188" t="s">
        <v>134</v>
      </c>
      <c r="F23" s="187">
        <v>1500</v>
      </c>
      <c r="G23" s="272">
        <v>41880</v>
      </c>
      <c r="H23" s="152">
        <v>45</v>
      </c>
      <c r="I23" s="170">
        <f t="shared" si="0"/>
        <v>0</v>
      </c>
    </row>
    <row r="24" spans="1:10" x14ac:dyDescent="0.2">
      <c r="A24" s="165">
        <v>4</v>
      </c>
      <c r="B24" s="160" t="s">
        <v>116</v>
      </c>
      <c r="C24" s="273" t="s">
        <v>405</v>
      </c>
      <c r="D24" s="271" t="s">
        <v>119</v>
      </c>
      <c r="E24" s="188" t="s">
        <v>133</v>
      </c>
      <c r="F24" s="187">
        <v>1500</v>
      </c>
      <c r="G24" s="272">
        <v>41878</v>
      </c>
      <c r="H24" s="152">
        <v>42</v>
      </c>
      <c r="I24" s="170">
        <f t="shared" si="0"/>
        <v>0</v>
      </c>
    </row>
    <row r="25" spans="1:10" x14ac:dyDescent="0.2">
      <c r="A25" s="165">
        <v>5</v>
      </c>
      <c r="B25" s="160" t="s">
        <v>116</v>
      </c>
      <c r="C25" s="273" t="s">
        <v>405</v>
      </c>
      <c r="D25" s="271" t="s">
        <v>120</v>
      </c>
      <c r="E25" s="188" t="s">
        <v>515</v>
      </c>
      <c r="F25" s="187">
        <v>1500</v>
      </c>
      <c r="G25" s="272">
        <v>41880</v>
      </c>
      <c r="H25" s="152">
        <v>45</v>
      </c>
      <c r="I25" s="170">
        <f t="shared" si="0"/>
        <v>0</v>
      </c>
    </row>
    <row r="26" spans="1:10" x14ac:dyDescent="0.2">
      <c r="A26" s="165">
        <v>6</v>
      </c>
      <c r="B26" s="160" t="s">
        <v>116</v>
      </c>
      <c r="C26" s="273" t="s">
        <v>405</v>
      </c>
      <c r="D26" s="271" t="s">
        <v>121</v>
      </c>
      <c r="E26" s="188" t="s">
        <v>138</v>
      </c>
      <c r="F26" s="187">
        <v>1500</v>
      </c>
      <c r="G26" s="272">
        <v>41877</v>
      </c>
      <c r="H26" s="152">
        <v>41</v>
      </c>
      <c r="I26" s="170">
        <f t="shared" si="0"/>
        <v>0</v>
      </c>
    </row>
    <row r="27" spans="1:10" x14ac:dyDescent="0.2">
      <c r="A27" s="165">
        <v>8</v>
      </c>
      <c r="B27" s="160" t="s">
        <v>116</v>
      </c>
      <c r="C27" s="273" t="s">
        <v>405</v>
      </c>
      <c r="D27" s="271" t="s">
        <v>122</v>
      </c>
      <c r="E27" s="188" t="s">
        <v>610</v>
      </c>
      <c r="F27" s="187">
        <v>1500</v>
      </c>
      <c r="G27" s="272">
        <v>41841</v>
      </c>
      <c r="H27" s="152">
        <v>23</v>
      </c>
      <c r="I27" s="170">
        <f t="shared" si="0"/>
        <v>0</v>
      </c>
      <c r="J27" s="250" t="s">
        <v>609</v>
      </c>
    </row>
    <row r="28" spans="1:10" x14ac:dyDescent="0.2">
      <c r="A28" s="165">
        <v>10</v>
      </c>
      <c r="B28" s="160" t="s">
        <v>116</v>
      </c>
      <c r="C28" s="273" t="s">
        <v>405</v>
      </c>
      <c r="D28" s="271" t="s">
        <v>123</v>
      </c>
      <c r="E28" s="188" t="s">
        <v>135</v>
      </c>
      <c r="F28" s="187">
        <v>1500</v>
      </c>
      <c r="G28" s="272">
        <v>41879</v>
      </c>
      <c r="H28" s="152">
        <v>45</v>
      </c>
      <c r="I28" s="170">
        <f t="shared" si="0"/>
        <v>0</v>
      </c>
    </row>
    <row r="29" spans="1:10" x14ac:dyDescent="0.2">
      <c r="A29" s="165">
        <v>12</v>
      </c>
      <c r="B29" s="160" t="s">
        <v>116</v>
      </c>
      <c r="C29" s="273" t="s">
        <v>405</v>
      </c>
      <c r="D29" s="271" t="s">
        <v>124</v>
      </c>
      <c r="E29" s="188" t="s">
        <v>136</v>
      </c>
      <c r="F29" s="187">
        <v>1500</v>
      </c>
      <c r="G29" s="272">
        <v>41883</v>
      </c>
      <c r="H29" s="152">
        <v>49</v>
      </c>
      <c r="I29" s="170">
        <f t="shared" si="0"/>
        <v>0</v>
      </c>
    </row>
    <row r="30" spans="1:10" x14ac:dyDescent="0.2">
      <c r="A30" s="165">
        <v>14</v>
      </c>
      <c r="B30" s="160" t="s">
        <v>116</v>
      </c>
      <c r="C30" s="273" t="s">
        <v>405</v>
      </c>
      <c r="D30" s="271" t="s">
        <v>125</v>
      </c>
      <c r="E30" s="188" t="s">
        <v>137</v>
      </c>
      <c r="F30" s="187">
        <v>1500</v>
      </c>
      <c r="G30" s="272">
        <v>41880</v>
      </c>
      <c r="H30" s="152">
        <v>45</v>
      </c>
      <c r="I30" s="170">
        <f t="shared" si="0"/>
        <v>0</v>
      </c>
    </row>
    <row r="31" spans="1:10" x14ac:dyDescent="0.2">
      <c r="A31" s="165">
        <v>16</v>
      </c>
      <c r="B31" s="160" t="s">
        <v>116</v>
      </c>
      <c r="C31" s="273" t="s">
        <v>405</v>
      </c>
      <c r="D31" s="271" t="s">
        <v>126</v>
      </c>
      <c r="E31" s="188" t="s">
        <v>508</v>
      </c>
      <c r="F31" s="187">
        <v>1500</v>
      </c>
      <c r="G31" s="272">
        <v>41879</v>
      </c>
      <c r="H31" s="152">
        <v>45</v>
      </c>
      <c r="I31" s="170">
        <f t="shared" si="0"/>
        <v>0</v>
      </c>
    </row>
    <row r="32" spans="1:10" x14ac:dyDescent="0.2">
      <c r="A32" s="165">
        <v>18</v>
      </c>
      <c r="B32" s="160" t="s">
        <v>116</v>
      </c>
      <c r="C32" s="273" t="s">
        <v>405</v>
      </c>
      <c r="D32" s="271" t="s">
        <v>127</v>
      </c>
      <c r="E32" s="188" t="s">
        <v>516</v>
      </c>
      <c r="F32" s="187">
        <v>1500</v>
      </c>
      <c r="G32" s="272">
        <v>41880</v>
      </c>
      <c r="H32" s="152">
        <v>45</v>
      </c>
      <c r="I32" s="170">
        <f t="shared" si="0"/>
        <v>0</v>
      </c>
    </row>
    <row r="33" spans="1:10" x14ac:dyDescent="0.2">
      <c r="A33" s="165" t="s">
        <v>334</v>
      </c>
      <c r="B33" s="160" t="s">
        <v>116</v>
      </c>
      <c r="C33" s="160" t="s">
        <v>405</v>
      </c>
      <c r="D33" s="271" t="s">
        <v>335</v>
      </c>
      <c r="E33" s="188" t="s">
        <v>608</v>
      </c>
      <c r="F33" s="187">
        <v>1500</v>
      </c>
      <c r="G33" s="272">
        <v>41927</v>
      </c>
      <c r="H33" s="152">
        <v>60</v>
      </c>
      <c r="I33" s="170">
        <f t="shared" si="0"/>
        <v>0</v>
      </c>
      <c r="J33" s="250" t="s">
        <v>607</v>
      </c>
    </row>
    <row r="34" spans="1:10" x14ac:dyDescent="0.2">
      <c r="A34" s="165">
        <v>1</v>
      </c>
      <c r="B34" s="152" t="s">
        <v>140</v>
      </c>
      <c r="C34" s="152" t="s">
        <v>408</v>
      </c>
      <c r="D34" s="162" t="s">
        <v>128</v>
      </c>
      <c r="E34" s="188" t="s">
        <v>503</v>
      </c>
      <c r="F34" s="187">
        <v>1500</v>
      </c>
      <c r="G34" s="272">
        <v>41890</v>
      </c>
      <c r="H34" s="152">
        <v>54</v>
      </c>
      <c r="I34" s="170">
        <f t="shared" si="0"/>
        <v>0</v>
      </c>
      <c r="J34" s="255"/>
    </row>
    <row r="35" spans="1:10" x14ac:dyDescent="0.2">
      <c r="A35" s="165">
        <v>2</v>
      </c>
      <c r="B35" s="152" t="s">
        <v>140</v>
      </c>
      <c r="C35" s="152" t="s">
        <v>408</v>
      </c>
      <c r="D35" s="271" t="s">
        <v>129</v>
      </c>
      <c r="E35" s="188" t="s">
        <v>151</v>
      </c>
      <c r="F35" s="187">
        <v>1500</v>
      </c>
      <c r="G35" s="272">
        <v>41876</v>
      </c>
      <c r="H35" s="152">
        <v>40</v>
      </c>
      <c r="I35" s="170">
        <f t="shared" si="0"/>
        <v>0</v>
      </c>
    </row>
    <row r="36" spans="1:10" x14ac:dyDescent="0.2">
      <c r="A36" s="165">
        <v>3</v>
      </c>
      <c r="B36" s="152" t="s">
        <v>140</v>
      </c>
      <c r="C36" s="152" t="s">
        <v>408</v>
      </c>
      <c r="D36" s="271" t="s">
        <v>130</v>
      </c>
      <c r="E36" s="188" t="s">
        <v>152</v>
      </c>
      <c r="F36" s="187">
        <v>1500</v>
      </c>
      <c r="G36" s="272">
        <v>41848</v>
      </c>
      <c r="H36" s="152">
        <v>27</v>
      </c>
      <c r="I36" s="170">
        <f t="shared" si="0"/>
        <v>0</v>
      </c>
    </row>
    <row r="37" spans="1:10" x14ac:dyDescent="0.2">
      <c r="A37" s="165">
        <v>4</v>
      </c>
      <c r="B37" s="152" t="s">
        <v>140</v>
      </c>
      <c r="C37" s="152" t="s">
        <v>408</v>
      </c>
      <c r="D37" s="271" t="s">
        <v>141</v>
      </c>
      <c r="E37" s="188" t="s">
        <v>153</v>
      </c>
      <c r="F37" s="187">
        <v>1500</v>
      </c>
      <c r="G37" s="272">
        <v>41879</v>
      </c>
      <c r="H37" s="152">
        <v>45</v>
      </c>
      <c r="I37" s="170">
        <f t="shared" si="0"/>
        <v>0</v>
      </c>
    </row>
    <row r="38" spans="1:10" x14ac:dyDescent="0.2">
      <c r="A38" s="165">
        <v>5</v>
      </c>
      <c r="B38" s="152" t="s">
        <v>140</v>
      </c>
      <c r="C38" s="152" t="s">
        <v>408</v>
      </c>
      <c r="D38" s="271" t="s">
        <v>143</v>
      </c>
      <c r="E38" s="188" t="s">
        <v>154</v>
      </c>
      <c r="F38" s="187">
        <v>1500</v>
      </c>
      <c r="G38" s="272">
        <v>41842</v>
      </c>
      <c r="H38" s="152">
        <v>39</v>
      </c>
      <c r="I38" s="170">
        <f t="shared" si="0"/>
        <v>0</v>
      </c>
    </row>
    <row r="39" spans="1:10" x14ac:dyDescent="0.2">
      <c r="A39" s="165">
        <v>6</v>
      </c>
      <c r="B39" s="152" t="s">
        <v>140</v>
      </c>
      <c r="C39" s="152" t="s">
        <v>408</v>
      </c>
      <c r="D39" s="271" t="s">
        <v>144</v>
      </c>
      <c r="E39" s="188" t="s">
        <v>155</v>
      </c>
      <c r="F39" s="187">
        <v>1500</v>
      </c>
      <c r="G39" s="272">
        <v>41849</v>
      </c>
      <c r="H39" s="152">
        <v>29</v>
      </c>
      <c r="I39" s="170">
        <f t="shared" si="0"/>
        <v>0</v>
      </c>
    </row>
    <row r="40" spans="1:10" x14ac:dyDescent="0.2">
      <c r="A40" s="165">
        <v>7</v>
      </c>
      <c r="B40" s="152" t="s">
        <v>140</v>
      </c>
      <c r="C40" s="152" t="s">
        <v>408</v>
      </c>
      <c r="D40" s="271" t="s">
        <v>145</v>
      </c>
      <c r="E40" s="188" t="s">
        <v>365</v>
      </c>
      <c r="F40" s="187">
        <v>1500</v>
      </c>
      <c r="G40" s="272">
        <v>41843</v>
      </c>
      <c r="H40" s="152">
        <v>24</v>
      </c>
      <c r="I40" s="170">
        <f t="shared" si="0"/>
        <v>0</v>
      </c>
    </row>
    <row r="41" spans="1:10" x14ac:dyDescent="0.2">
      <c r="A41" s="165">
        <v>8</v>
      </c>
      <c r="B41" s="152" t="s">
        <v>140</v>
      </c>
      <c r="C41" s="152" t="s">
        <v>408</v>
      </c>
      <c r="D41" s="271" t="s">
        <v>146</v>
      </c>
      <c r="E41" s="188" t="s">
        <v>156</v>
      </c>
      <c r="F41" s="187">
        <v>1500</v>
      </c>
      <c r="G41" s="272">
        <v>41849</v>
      </c>
      <c r="H41" s="152">
        <v>29</v>
      </c>
      <c r="I41" s="170">
        <f t="shared" si="0"/>
        <v>0</v>
      </c>
    </row>
    <row r="42" spans="1:10" x14ac:dyDescent="0.2">
      <c r="A42" s="165">
        <v>9</v>
      </c>
      <c r="B42" s="152" t="s">
        <v>140</v>
      </c>
      <c r="C42" s="152" t="s">
        <v>408</v>
      </c>
      <c r="D42" s="271" t="s">
        <v>147</v>
      </c>
      <c r="E42" s="188" t="s">
        <v>157</v>
      </c>
      <c r="F42" s="187">
        <v>1500</v>
      </c>
      <c r="G42" s="272">
        <v>41843</v>
      </c>
      <c r="H42" s="152">
        <v>24</v>
      </c>
      <c r="I42" s="170">
        <f t="shared" si="0"/>
        <v>0</v>
      </c>
    </row>
    <row r="43" spans="1:10" x14ac:dyDescent="0.2">
      <c r="A43" s="165">
        <v>10</v>
      </c>
      <c r="B43" s="152" t="s">
        <v>140</v>
      </c>
      <c r="C43" s="152" t="s">
        <v>408</v>
      </c>
      <c r="D43" s="271" t="s">
        <v>148</v>
      </c>
      <c r="E43" s="188" t="s">
        <v>652</v>
      </c>
      <c r="F43" s="187">
        <v>1500</v>
      </c>
      <c r="G43" s="272">
        <v>41850</v>
      </c>
      <c r="H43" s="152">
        <v>30</v>
      </c>
      <c r="I43" s="170">
        <f t="shared" si="0"/>
        <v>0</v>
      </c>
    </row>
    <row r="44" spans="1:10" x14ac:dyDescent="0.2">
      <c r="A44" s="165">
        <v>11</v>
      </c>
      <c r="B44" s="152" t="s">
        <v>140</v>
      </c>
      <c r="C44" s="152" t="s">
        <v>408</v>
      </c>
      <c r="D44" s="271" t="s">
        <v>149</v>
      </c>
      <c r="E44" s="188" t="s">
        <v>158</v>
      </c>
      <c r="F44" s="187">
        <v>1500</v>
      </c>
      <c r="G44" s="272">
        <v>41845</v>
      </c>
      <c r="H44" s="152">
        <v>26</v>
      </c>
      <c r="I44" s="170">
        <f t="shared" si="0"/>
        <v>0</v>
      </c>
    </row>
    <row r="45" spans="1:10" x14ac:dyDescent="0.2">
      <c r="A45" s="165">
        <v>13</v>
      </c>
      <c r="B45" s="152" t="s">
        <v>140</v>
      </c>
      <c r="C45" s="152" t="s">
        <v>408</v>
      </c>
      <c r="D45" s="271" t="s">
        <v>150</v>
      </c>
      <c r="E45" s="188" t="s">
        <v>159</v>
      </c>
      <c r="F45" s="187">
        <v>1500</v>
      </c>
      <c r="G45" s="272">
        <v>41880</v>
      </c>
      <c r="H45" s="152">
        <v>45</v>
      </c>
      <c r="I45" s="170">
        <f t="shared" si="0"/>
        <v>0</v>
      </c>
    </row>
    <row r="46" spans="1:10" x14ac:dyDescent="0.2">
      <c r="A46" s="165">
        <v>2</v>
      </c>
      <c r="B46" s="152" t="s">
        <v>280</v>
      </c>
      <c r="C46" s="152" t="s">
        <v>403</v>
      </c>
      <c r="D46" s="271" t="s">
        <v>283</v>
      </c>
      <c r="E46" s="188" t="s">
        <v>299</v>
      </c>
      <c r="F46" s="187">
        <v>1500</v>
      </c>
      <c r="G46" s="272">
        <v>41849</v>
      </c>
      <c r="H46" s="152">
        <v>29</v>
      </c>
      <c r="I46" s="170">
        <f t="shared" si="0"/>
        <v>0</v>
      </c>
    </row>
    <row r="47" spans="1:10" x14ac:dyDescent="0.2">
      <c r="A47" s="165">
        <v>3</v>
      </c>
      <c r="B47" s="152" t="s">
        <v>280</v>
      </c>
      <c r="C47" s="152" t="s">
        <v>403</v>
      </c>
      <c r="D47" s="271" t="s">
        <v>284</v>
      </c>
      <c r="E47" s="188" t="s">
        <v>300</v>
      </c>
      <c r="F47" s="187">
        <v>1500</v>
      </c>
      <c r="G47" s="272">
        <v>41883</v>
      </c>
      <c r="H47" s="152">
        <v>49</v>
      </c>
      <c r="I47" s="170">
        <f t="shared" si="0"/>
        <v>0</v>
      </c>
    </row>
    <row r="48" spans="1:10" x14ac:dyDescent="0.2">
      <c r="A48" s="165">
        <v>4</v>
      </c>
      <c r="B48" s="152" t="s">
        <v>280</v>
      </c>
      <c r="C48" s="152" t="s">
        <v>403</v>
      </c>
      <c r="D48" s="271" t="s">
        <v>285</v>
      </c>
      <c r="E48" s="188" t="s">
        <v>301</v>
      </c>
      <c r="F48" s="187">
        <v>1500</v>
      </c>
      <c r="G48" s="272">
        <v>41877</v>
      </c>
      <c r="H48" s="152">
        <v>41</v>
      </c>
      <c r="I48" s="170">
        <f t="shared" si="0"/>
        <v>0</v>
      </c>
    </row>
    <row r="49" spans="1:10" x14ac:dyDescent="0.2">
      <c r="A49" s="165">
        <v>5</v>
      </c>
      <c r="B49" s="152" t="s">
        <v>280</v>
      </c>
      <c r="C49" s="152" t="s">
        <v>403</v>
      </c>
      <c r="D49" s="271" t="s">
        <v>286</v>
      </c>
      <c r="E49" s="188" t="s">
        <v>499</v>
      </c>
      <c r="F49" s="187">
        <v>1500</v>
      </c>
      <c r="G49" s="272">
        <v>41845</v>
      </c>
      <c r="H49" s="152">
        <v>26</v>
      </c>
      <c r="I49" s="170">
        <f t="shared" si="0"/>
        <v>0</v>
      </c>
      <c r="J49" s="255" t="s">
        <v>500</v>
      </c>
    </row>
    <row r="50" spans="1:10" x14ac:dyDescent="0.2">
      <c r="A50" s="165">
        <v>6</v>
      </c>
      <c r="B50" s="152" t="s">
        <v>280</v>
      </c>
      <c r="C50" s="152" t="s">
        <v>403</v>
      </c>
      <c r="D50" s="271" t="s">
        <v>287</v>
      </c>
      <c r="E50" s="188" t="s">
        <v>302</v>
      </c>
      <c r="F50" s="187">
        <v>1500</v>
      </c>
      <c r="G50" s="272">
        <v>41880</v>
      </c>
      <c r="H50" s="152">
        <v>45</v>
      </c>
      <c r="I50" s="170">
        <f t="shared" si="0"/>
        <v>0</v>
      </c>
    </row>
    <row r="51" spans="1:10" x14ac:dyDescent="0.2">
      <c r="A51" s="165">
        <v>7</v>
      </c>
      <c r="B51" s="152" t="s">
        <v>280</v>
      </c>
      <c r="C51" s="152" t="s">
        <v>403</v>
      </c>
      <c r="D51" s="271" t="s">
        <v>288</v>
      </c>
      <c r="E51" s="188" t="s">
        <v>303</v>
      </c>
      <c r="F51" s="187">
        <v>1500</v>
      </c>
      <c r="G51" s="272">
        <v>41877</v>
      </c>
      <c r="H51" s="152">
        <v>41</v>
      </c>
      <c r="I51" s="170">
        <f t="shared" si="0"/>
        <v>0</v>
      </c>
    </row>
    <row r="52" spans="1:10" x14ac:dyDescent="0.2">
      <c r="A52" s="165">
        <v>8</v>
      </c>
      <c r="B52" s="152" t="s">
        <v>280</v>
      </c>
      <c r="C52" s="152" t="s">
        <v>403</v>
      </c>
      <c r="D52" s="271" t="s">
        <v>289</v>
      </c>
      <c r="E52" s="188" t="s">
        <v>304</v>
      </c>
      <c r="F52" s="187">
        <v>1500</v>
      </c>
      <c r="G52" s="272">
        <v>41848</v>
      </c>
      <c r="H52" s="152">
        <v>27</v>
      </c>
      <c r="I52" s="170">
        <f t="shared" si="0"/>
        <v>0</v>
      </c>
    </row>
    <row r="53" spans="1:10" x14ac:dyDescent="0.2">
      <c r="A53" s="165">
        <v>10</v>
      </c>
      <c r="B53" s="152" t="s">
        <v>280</v>
      </c>
      <c r="C53" s="152" t="s">
        <v>403</v>
      </c>
      <c r="D53" s="271" t="s">
        <v>290</v>
      </c>
      <c r="E53" s="188" t="s">
        <v>305</v>
      </c>
      <c r="F53" s="187">
        <v>1500</v>
      </c>
      <c r="G53" s="272">
        <v>41878</v>
      </c>
      <c r="H53" s="152">
        <v>42</v>
      </c>
      <c r="I53" s="170">
        <f t="shared" si="0"/>
        <v>0</v>
      </c>
      <c r="J53" s="250" t="s">
        <v>662</v>
      </c>
    </row>
    <row r="54" spans="1:10" x14ac:dyDescent="0.2">
      <c r="A54" s="165">
        <v>13</v>
      </c>
      <c r="B54" s="152" t="s">
        <v>280</v>
      </c>
      <c r="C54" s="152" t="s">
        <v>403</v>
      </c>
      <c r="D54" s="271" t="s">
        <v>291</v>
      </c>
      <c r="E54" s="188" t="s">
        <v>306</v>
      </c>
      <c r="F54" s="187">
        <v>1500</v>
      </c>
      <c r="G54" s="272">
        <v>41880</v>
      </c>
      <c r="H54" s="152">
        <v>45</v>
      </c>
      <c r="I54" s="170">
        <f t="shared" si="0"/>
        <v>0</v>
      </c>
    </row>
    <row r="55" spans="1:10" x14ac:dyDescent="0.2">
      <c r="A55" s="165">
        <v>15</v>
      </c>
      <c r="B55" s="152" t="s">
        <v>280</v>
      </c>
      <c r="C55" s="152" t="s">
        <v>403</v>
      </c>
      <c r="D55" s="271" t="s">
        <v>292</v>
      </c>
      <c r="E55" s="308" t="s">
        <v>511</v>
      </c>
      <c r="F55" s="187">
        <v>1500</v>
      </c>
      <c r="G55" s="272">
        <v>41877</v>
      </c>
      <c r="H55" s="152">
        <v>41</v>
      </c>
      <c r="I55" s="170">
        <f t="shared" si="0"/>
        <v>0</v>
      </c>
    </row>
    <row r="56" spans="1:10" x14ac:dyDescent="0.2">
      <c r="A56" s="165">
        <v>17</v>
      </c>
      <c r="B56" s="152" t="s">
        <v>280</v>
      </c>
      <c r="C56" s="152" t="s">
        <v>403</v>
      </c>
      <c r="D56" s="271" t="s">
        <v>293</v>
      </c>
      <c r="E56" s="188" t="s">
        <v>510</v>
      </c>
      <c r="F56" s="187">
        <v>1500</v>
      </c>
      <c r="G56" s="272">
        <v>41883</v>
      </c>
      <c r="H56" s="152">
        <v>49</v>
      </c>
      <c r="I56" s="170">
        <f t="shared" si="0"/>
        <v>0</v>
      </c>
    </row>
    <row r="57" spans="1:10" x14ac:dyDescent="0.2">
      <c r="A57" s="165" t="s">
        <v>404</v>
      </c>
      <c r="B57" s="152" t="s">
        <v>282</v>
      </c>
      <c r="C57" s="152" t="s">
        <v>403</v>
      </c>
      <c r="D57" s="271" t="s">
        <v>294</v>
      </c>
      <c r="E57" s="188" t="s">
        <v>307</v>
      </c>
      <c r="F57" s="187">
        <v>1500.6</v>
      </c>
      <c r="G57" s="272">
        <v>41848</v>
      </c>
      <c r="H57" s="152">
        <v>27</v>
      </c>
      <c r="I57" s="170">
        <f t="shared" si="0"/>
        <v>0</v>
      </c>
    </row>
    <row r="58" spans="1:10" x14ac:dyDescent="0.2">
      <c r="A58" s="165">
        <v>1</v>
      </c>
      <c r="B58" s="152" t="s">
        <v>281</v>
      </c>
      <c r="C58" s="152" t="s">
        <v>400</v>
      </c>
      <c r="D58" s="271" t="s">
        <v>295</v>
      </c>
      <c r="E58" s="188" t="s">
        <v>308</v>
      </c>
      <c r="F58" s="187">
        <v>1500</v>
      </c>
      <c r="G58" s="272">
        <v>41880</v>
      </c>
      <c r="H58" s="152">
        <v>45</v>
      </c>
      <c r="I58" s="170">
        <f t="shared" si="0"/>
        <v>0</v>
      </c>
    </row>
    <row r="59" spans="1:10" x14ac:dyDescent="0.2">
      <c r="A59" s="165">
        <v>2</v>
      </c>
      <c r="B59" s="152" t="s">
        <v>281</v>
      </c>
      <c r="C59" s="152" t="s">
        <v>400</v>
      </c>
      <c r="D59" s="271" t="s">
        <v>296</v>
      </c>
      <c r="E59" s="188" t="s">
        <v>309</v>
      </c>
      <c r="F59" s="187">
        <v>1500</v>
      </c>
      <c r="G59" s="272">
        <v>41877</v>
      </c>
      <c r="H59" s="152">
        <v>41</v>
      </c>
      <c r="I59" s="170">
        <f t="shared" si="0"/>
        <v>0</v>
      </c>
    </row>
    <row r="60" spans="1:10" x14ac:dyDescent="0.2">
      <c r="A60" s="165">
        <v>3</v>
      </c>
      <c r="B60" s="152" t="s">
        <v>281</v>
      </c>
      <c r="C60" s="152" t="s">
        <v>400</v>
      </c>
      <c r="D60" s="271" t="s">
        <v>297</v>
      </c>
      <c r="E60" s="188" t="s">
        <v>495</v>
      </c>
      <c r="F60" s="187">
        <v>1500</v>
      </c>
      <c r="G60" s="272">
        <v>41844</v>
      </c>
      <c r="H60" s="152">
        <v>25</v>
      </c>
      <c r="I60" s="170">
        <f t="shared" si="0"/>
        <v>0</v>
      </c>
    </row>
    <row r="61" spans="1:10" x14ac:dyDescent="0.2">
      <c r="A61" s="165">
        <v>4</v>
      </c>
      <c r="B61" s="152" t="s">
        <v>281</v>
      </c>
      <c r="C61" s="152" t="s">
        <v>400</v>
      </c>
      <c r="D61" s="271" t="s">
        <v>298</v>
      </c>
      <c r="E61" s="188" t="s">
        <v>369</v>
      </c>
      <c r="F61" s="187">
        <v>1500</v>
      </c>
      <c r="G61" s="272">
        <v>41878</v>
      </c>
      <c r="H61" s="152">
        <v>42</v>
      </c>
      <c r="I61" s="170">
        <f t="shared" si="0"/>
        <v>0</v>
      </c>
    </row>
    <row r="62" spans="1:10" x14ac:dyDescent="0.2">
      <c r="A62" s="165">
        <v>1</v>
      </c>
      <c r="B62" s="152" t="s">
        <v>169</v>
      </c>
      <c r="C62" s="152" t="s">
        <v>399</v>
      </c>
      <c r="D62" s="271" t="s">
        <v>170</v>
      </c>
      <c r="E62" s="188" t="s">
        <v>182</v>
      </c>
      <c r="F62" s="187">
        <v>1500</v>
      </c>
      <c r="G62" s="272">
        <v>41884</v>
      </c>
      <c r="H62" s="152">
        <v>50</v>
      </c>
      <c r="I62" s="170">
        <f t="shared" si="0"/>
        <v>0</v>
      </c>
    </row>
    <row r="63" spans="1:10" x14ac:dyDescent="0.2">
      <c r="A63" s="165">
        <v>2</v>
      </c>
      <c r="B63" s="152" t="s">
        <v>169</v>
      </c>
      <c r="C63" s="152" t="s">
        <v>399</v>
      </c>
      <c r="D63" s="271" t="s">
        <v>171</v>
      </c>
      <c r="E63" s="188" t="s">
        <v>345</v>
      </c>
      <c r="F63" s="187">
        <v>1500</v>
      </c>
      <c r="G63" s="272">
        <v>41880</v>
      </c>
      <c r="H63" s="152">
        <v>45</v>
      </c>
      <c r="I63" s="170">
        <f t="shared" si="0"/>
        <v>0</v>
      </c>
    </row>
    <row r="64" spans="1:10" x14ac:dyDescent="0.2">
      <c r="A64" s="165">
        <v>3</v>
      </c>
      <c r="B64" s="152" t="s">
        <v>169</v>
      </c>
      <c r="C64" s="152" t="s">
        <v>399</v>
      </c>
      <c r="D64" s="271" t="s">
        <v>172</v>
      </c>
      <c r="E64" s="188" t="s">
        <v>183</v>
      </c>
      <c r="F64" s="187">
        <v>1500</v>
      </c>
      <c r="G64" s="272">
        <v>41852</v>
      </c>
      <c r="H64" s="187">
        <v>32</v>
      </c>
      <c r="I64" s="170">
        <f t="shared" si="0"/>
        <v>0</v>
      </c>
    </row>
    <row r="65" spans="1:9" x14ac:dyDescent="0.2">
      <c r="A65" s="165">
        <v>7</v>
      </c>
      <c r="B65" s="152" t="s">
        <v>169</v>
      </c>
      <c r="C65" s="152" t="s">
        <v>399</v>
      </c>
      <c r="D65" s="271" t="s">
        <v>173</v>
      </c>
      <c r="E65" s="188" t="s">
        <v>184</v>
      </c>
      <c r="F65" s="187">
        <v>1500</v>
      </c>
      <c r="G65" s="272">
        <v>41880</v>
      </c>
      <c r="H65" s="152">
        <v>45</v>
      </c>
      <c r="I65" s="170">
        <f t="shared" si="0"/>
        <v>0</v>
      </c>
    </row>
    <row r="66" spans="1:9" x14ac:dyDescent="0.2">
      <c r="A66" s="165">
        <v>8</v>
      </c>
      <c r="B66" s="152" t="s">
        <v>169</v>
      </c>
      <c r="C66" s="152" t="s">
        <v>399</v>
      </c>
      <c r="D66" s="271" t="s">
        <v>174</v>
      </c>
      <c r="E66" s="188" t="s">
        <v>185</v>
      </c>
      <c r="F66" s="187">
        <v>1500</v>
      </c>
      <c r="G66" s="272">
        <v>41880</v>
      </c>
      <c r="H66" s="152">
        <v>45</v>
      </c>
      <c r="I66" s="170">
        <f t="shared" si="0"/>
        <v>0</v>
      </c>
    </row>
    <row r="67" spans="1:9" x14ac:dyDescent="0.2">
      <c r="A67" s="165">
        <v>9</v>
      </c>
      <c r="B67" s="152" t="s">
        <v>169</v>
      </c>
      <c r="C67" s="152" t="s">
        <v>399</v>
      </c>
      <c r="D67" s="271" t="s">
        <v>175</v>
      </c>
      <c r="E67" s="188" t="s">
        <v>186</v>
      </c>
      <c r="F67" s="187">
        <v>1500</v>
      </c>
      <c r="G67" s="272">
        <v>41880</v>
      </c>
      <c r="H67" s="152">
        <v>45</v>
      </c>
      <c r="I67" s="170">
        <f t="shared" si="0"/>
        <v>0</v>
      </c>
    </row>
    <row r="68" spans="1:9" x14ac:dyDescent="0.2">
      <c r="A68" s="165">
        <v>10</v>
      </c>
      <c r="B68" s="152" t="s">
        <v>169</v>
      </c>
      <c r="C68" s="152" t="s">
        <v>399</v>
      </c>
      <c r="D68" s="271" t="s">
        <v>176</v>
      </c>
      <c r="E68" s="188" t="s">
        <v>187</v>
      </c>
      <c r="F68" s="187">
        <v>1500</v>
      </c>
      <c r="G68" s="272">
        <v>41876</v>
      </c>
      <c r="H68" s="152">
        <v>40</v>
      </c>
      <c r="I68" s="170">
        <f t="shared" si="0"/>
        <v>0</v>
      </c>
    </row>
    <row r="69" spans="1:9" x14ac:dyDescent="0.2">
      <c r="A69" s="165">
        <v>11</v>
      </c>
      <c r="B69" s="152" t="s">
        <v>169</v>
      </c>
      <c r="C69" s="152" t="s">
        <v>399</v>
      </c>
      <c r="D69" s="271" t="s">
        <v>177</v>
      </c>
      <c r="E69" s="188" t="s">
        <v>188</v>
      </c>
      <c r="F69" s="187">
        <v>1500</v>
      </c>
      <c r="G69" s="272">
        <v>41890</v>
      </c>
      <c r="H69" s="152">
        <v>54</v>
      </c>
      <c r="I69" s="170">
        <f t="shared" si="0"/>
        <v>0</v>
      </c>
    </row>
    <row r="70" spans="1:9" x14ac:dyDescent="0.2">
      <c r="A70" s="165">
        <v>12</v>
      </c>
      <c r="B70" s="152" t="s">
        <v>169</v>
      </c>
      <c r="C70" s="152" t="s">
        <v>399</v>
      </c>
      <c r="D70" s="271" t="s">
        <v>178</v>
      </c>
      <c r="E70" s="188" t="s">
        <v>189</v>
      </c>
      <c r="F70" s="187">
        <v>1500</v>
      </c>
      <c r="G70" s="272">
        <v>41878</v>
      </c>
      <c r="H70" s="152">
        <v>42</v>
      </c>
      <c r="I70" s="170">
        <f t="shared" si="0"/>
        <v>0</v>
      </c>
    </row>
    <row r="71" spans="1:9" x14ac:dyDescent="0.2">
      <c r="A71" s="165">
        <v>13</v>
      </c>
      <c r="B71" s="152" t="s">
        <v>169</v>
      </c>
      <c r="C71" s="152" t="s">
        <v>399</v>
      </c>
      <c r="D71" s="271" t="s">
        <v>179</v>
      </c>
      <c r="E71" s="188" t="s">
        <v>190</v>
      </c>
      <c r="F71" s="187">
        <v>1500</v>
      </c>
      <c r="G71" s="272">
        <v>41880</v>
      </c>
      <c r="H71" s="152">
        <v>45</v>
      </c>
      <c r="I71" s="170">
        <f t="shared" ref="I71:I123" si="1">IF(F71&lt;=100,1500,0)</f>
        <v>0</v>
      </c>
    </row>
    <row r="72" spans="1:9" x14ac:dyDescent="0.2">
      <c r="A72" s="165">
        <v>14</v>
      </c>
      <c r="B72" s="152" t="s">
        <v>169</v>
      </c>
      <c r="C72" s="152" t="s">
        <v>399</v>
      </c>
      <c r="D72" s="271" t="s">
        <v>180</v>
      </c>
      <c r="E72" s="188" t="s">
        <v>191</v>
      </c>
      <c r="F72" s="187">
        <v>1500</v>
      </c>
      <c r="G72" s="272">
        <v>41880</v>
      </c>
      <c r="H72" s="152">
        <v>45</v>
      </c>
      <c r="I72" s="170">
        <f t="shared" si="1"/>
        <v>0</v>
      </c>
    </row>
    <row r="73" spans="1:9" x14ac:dyDescent="0.2">
      <c r="A73" s="165">
        <v>15</v>
      </c>
      <c r="B73" s="152" t="s">
        <v>169</v>
      </c>
      <c r="C73" s="152" t="s">
        <v>399</v>
      </c>
      <c r="D73" s="271" t="s">
        <v>181</v>
      </c>
      <c r="E73" s="188" t="s">
        <v>192</v>
      </c>
      <c r="F73" s="187">
        <v>1500</v>
      </c>
      <c r="G73" s="272">
        <v>41849</v>
      </c>
      <c r="H73" s="152">
        <v>29</v>
      </c>
      <c r="I73" s="170">
        <f t="shared" si="1"/>
        <v>0</v>
      </c>
    </row>
    <row r="74" spans="1:9" x14ac:dyDescent="0.2">
      <c r="A74" s="165">
        <v>1</v>
      </c>
      <c r="B74" s="152" t="s">
        <v>210</v>
      </c>
      <c r="C74" s="152" t="s">
        <v>396</v>
      </c>
      <c r="D74" s="271" t="s">
        <v>211</v>
      </c>
      <c r="E74" s="188" t="s">
        <v>228</v>
      </c>
      <c r="F74" s="187">
        <v>1500</v>
      </c>
      <c r="G74" s="272">
        <v>41926</v>
      </c>
      <c r="H74" s="187">
        <v>59</v>
      </c>
      <c r="I74" s="170">
        <f t="shared" si="1"/>
        <v>0</v>
      </c>
    </row>
    <row r="75" spans="1:9" x14ac:dyDescent="0.2">
      <c r="A75" s="165">
        <v>2</v>
      </c>
      <c r="B75" s="152" t="s">
        <v>210</v>
      </c>
      <c r="C75" s="152" t="s">
        <v>396</v>
      </c>
      <c r="D75" s="271" t="s">
        <v>212</v>
      </c>
      <c r="E75" s="188" t="s">
        <v>229</v>
      </c>
      <c r="F75" s="187">
        <v>1500</v>
      </c>
      <c r="G75" s="272">
        <v>41844</v>
      </c>
      <c r="H75" s="152">
        <v>25</v>
      </c>
      <c r="I75" s="170">
        <f t="shared" si="1"/>
        <v>0</v>
      </c>
    </row>
    <row r="76" spans="1:9" x14ac:dyDescent="0.2">
      <c r="A76" s="165">
        <v>3</v>
      </c>
      <c r="B76" s="152" t="s">
        <v>210</v>
      </c>
      <c r="C76" s="152" t="s">
        <v>396</v>
      </c>
      <c r="D76" s="271" t="s">
        <v>213</v>
      </c>
      <c r="E76" s="188" t="s">
        <v>448</v>
      </c>
      <c r="F76" s="187">
        <v>1500</v>
      </c>
      <c r="G76" s="272">
        <v>41879</v>
      </c>
      <c r="H76" s="152">
        <v>45</v>
      </c>
      <c r="I76" s="170">
        <f t="shared" si="1"/>
        <v>0</v>
      </c>
    </row>
    <row r="77" spans="1:9" x14ac:dyDescent="0.2">
      <c r="A77" s="165">
        <v>4</v>
      </c>
      <c r="B77" s="152" t="s">
        <v>210</v>
      </c>
      <c r="C77" s="152" t="s">
        <v>396</v>
      </c>
      <c r="D77" s="271" t="s">
        <v>214</v>
      </c>
      <c r="E77" s="188" t="s">
        <v>229</v>
      </c>
      <c r="F77" s="187">
        <v>1500</v>
      </c>
      <c r="G77" s="272">
        <v>41844</v>
      </c>
      <c r="H77" s="152">
        <v>25</v>
      </c>
      <c r="I77" s="170">
        <f t="shared" si="1"/>
        <v>0</v>
      </c>
    </row>
    <row r="78" spans="1:9" x14ac:dyDescent="0.2">
      <c r="A78" s="165">
        <v>5</v>
      </c>
      <c r="B78" s="152" t="s">
        <v>210</v>
      </c>
      <c r="C78" s="152" t="s">
        <v>396</v>
      </c>
      <c r="D78" s="271" t="s">
        <v>215</v>
      </c>
      <c r="E78" s="188" t="s">
        <v>230</v>
      </c>
      <c r="F78" s="187">
        <v>1500</v>
      </c>
      <c r="G78" s="272">
        <v>41817</v>
      </c>
      <c r="H78" s="152">
        <v>17</v>
      </c>
      <c r="I78" s="170">
        <f t="shared" si="1"/>
        <v>0</v>
      </c>
    </row>
    <row r="79" spans="1:9" x14ac:dyDescent="0.2">
      <c r="A79" s="165">
        <v>6</v>
      </c>
      <c r="B79" s="152" t="s">
        <v>210</v>
      </c>
      <c r="C79" s="152" t="s">
        <v>396</v>
      </c>
      <c r="D79" s="271" t="s">
        <v>216</v>
      </c>
      <c r="E79" s="188" t="s">
        <v>231</v>
      </c>
      <c r="F79" s="187">
        <v>1500</v>
      </c>
      <c r="G79" s="272">
        <v>41848</v>
      </c>
      <c r="H79" s="152">
        <v>27</v>
      </c>
      <c r="I79" s="170">
        <f t="shared" si="1"/>
        <v>0</v>
      </c>
    </row>
    <row r="80" spans="1:9" x14ac:dyDescent="0.2">
      <c r="A80" s="165">
        <v>7</v>
      </c>
      <c r="B80" s="152" t="s">
        <v>210</v>
      </c>
      <c r="C80" s="152" t="s">
        <v>396</v>
      </c>
      <c r="D80" s="271" t="s">
        <v>217</v>
      </c>
      <c r="E80" s="188" t="s">
        <v>232</v>
      </c>
      <c r="F80" s="187">
        <v>1500</v>
      </c>
      <c r="G80" s="272">
        <v>41887</v>
      </c>
      <c r="H80" s="152">
        <v>53</v>
      </c>
      <c r="I80" s="170">
        <f t="shared" si="1"/>
        <v>0</v>
      </c>
    </row>
    <row r="81" spans="1:10" x14ac:dyDescent="0.2">
      <c r="A81" s="165">
        <v>8</v>
      </c>
      <c r="B81" s="152" t="s">
        <v>210</v>
      </c>
      <c r="C81" s="152" t="s">
        <v>396</v>
      </c>
      <c r="D81" s="271" t="s">
        <v>218</v>
      </c>
      <c r="E81" s="188" t="s">
        <v>233</v>
      </c>
      <c r="F81" s="187">
        <v>1500</v>
      </c>
      <c r="G81" s="272">
        <v>41851</v>
      </c>
      <c r="H81" s="152">
        <v>31</v>
      </c>
      <c r="I81" s="170">
        <f t="shared" si="1"/>
        <v>0</v>
      </c>
    </row>
    <row r="82" spans="1:10" x14ac:dyDescent="0.2">
      <c r="A82" s="165">
        <v>9</v>
      </c>
      <c r="B82" s="152" t="s">
        <v>210</v>
      </c>
      <c r="C82" s="152" t="s">
        <v>396</v>
      </c>
      <c r="D82" s="271" t="s">
        <v>219</v>
      </c>
      <c r="E82" s="188" t="s">
        <v>449</v>
      </c>
      <c r="F82" s="187">
        <v>1500</v>
      </c>
      <c r="G82" s="272">
        <v>41880</v>
      </c>
      <c r="H82" s="152">
        <v>45</v>
      </c>
      <c r="I82" s="170">
        <f t="shared" si="1"/>
        <v>0</v>
      </c>
    </row>
    <row r="83" spans="1:10" x14ac:dyDescent="0.2">
      <c r="A83" s="165">
        <v>11</v>
      </c>
      <c r="B83" s="152" t="s">
        <v>210</v>
      </c>
      <c r="C83" s="152" t="s">
        <v>396</v>
      </c>
      <c r="D83" s="271" t="s">
        <v>220</v>
      </c>
      <c r="E83" s="188" t="s">
        <v>234</v>
      </c>
      <c r="F83" s="187">
        <v>1500</v>
      </c>
      <c r="G83" s="272">
        <v>41858</v>
      </c>
      <c r="H83" s="152">
        <v>34</v>
      </c>
      <c r="I83" s="170">
        <f t="shared" si="1"/>
        <v>0</v>
      </c>
    </row>
    <row r="84" spans="1:10" x14ac:dyDescent="0.2">
      <c r="A84" s="165">
        <v>12</v>
      </c>
      <c r="B84" s="152" t="s">
        <v>210</v>
      </c>
      <c r="C84" s="152" t="s">
        <v>396</v>
      </c>
      <c r="D84" s="271" t="s">
        <v>221</v>
      </c>
      <c r="E84" s="188" t="s">
        <v>235</v>
      </c>
      <c r="F84" s="187">
        <v>1500</v>
      </c>
      <c r="G84" s="272">
        <v>41880</v>
      </c>
      <c r="H84" s="152">
        <v>45</v>
      </c>
      <c r="I84" s="170">
        <f t="shared" si="1"/>
        <v>0</v>
      </c>
    </row>
    <row r="85" spans="1:10" x14ac:dyDescent="0.2">
      <c r="A85" s="165">
        <v>13</v>
      </c>
      <c r="B85" s="152" t="s">
        <v>210</v>
      </c>
      <c r="C85" s="152" t="s">
        <v>396</v>
      </c>
      <c r="D85" s="271" t="s">
        <v>222</v>
      </c>
      <c r="E85" s="188" t="s">
        <v>236</v>
      </c>
      <c r="F85" s="187">
        <v>1500</v>
      </c>
      <c r="G85" s="272">
        <v>41789</v>
      </c>
      <c r="H85" s="167">
        <v>8</v>
      </c>
      <c r="I85" s="170">
        <f t="shared" si="1"/>
        <v>0</v>
      </c>
      <c r="J85" s="250" t="s">
        <v>496</v>
      </c>
    </row>
    <row r="86" spans="1:10" x14ac:dyDescent="0.2">
      <c r="A86" s="165">
        <v>14</v>
      </c>
      <c r="B86" s="152" t="s">
        <v>210</v>
      </c>
      <c r="C86" s="152" t="s">
        <v>396</v>
      </c>
      <c r="D86" s="271" t="s">
        <v>223</v>
      </c>
      <c r="E86" s="188" t="s">
        <v>237</v>
      </c>
      <c r="F86" s="187">
        <v>1500</v>
      </c>
      <c r="G86" s="272">
        <v>41876</v>
      </c>
      <c r="H86" s="152">
        <v>40</v>
      </c>
      <c r="I86" s="170">
        <f t="shared" si="1"/>
        <v>0</v>
      </c>
    </row>
    <row r="87" spans="1:10" x14ac:dyDescent="0.2">
      <c r="A87" s="165">
        <v>16</v>
      </c>
      <c r="B87" s="152" t="s">
        <v>210</v>
      </c>
      <c r="C87" s="152" t="s">
        <v>396</v>
      </c>
      <c r="D87" s="271" t="s">
        <v>224</v>
      </c>
      <c r="E87" s="188" t="s">
        <v>419</v>
      </c>
      <c r="F87" s="187">
        <v>1500</v>
      </c>
      <c r="G87" s="272">
        <v>41851</v>
      </c>
      <c r="H87" s="152">
        <v>31</v>
      </c>
      <c r="I87" s="170">
        <f t="shared" si="1"/>
        <v>0</v>
      </c>
    </row>
    <row r="88" spans="1:10" x14ac:dyDescent="0.2">
      <c r="A88" s="165">
        <v>18</v>
      </c>
      <c r="B88" s="152" t="s">
        <v>210</v>
      </c>
      <c r="C88" s="152" t="s">
        <v>396</v>
      </c>
      <c r="D88" s="271" t="s">
        <v>225</v>
      </c>
      <c r="E88" s="188" t="s">
        <v>238</v>
      </c>
      <c r="F88" s="187">
        <v>1500</v>
      </c>
      <c r="G88" s="272">
        <v>41878</v>
      </c>
      <c r="H88" s="152">
        <v>42</v>
      </c>
      <c r="I88" s="170">
        <f t="shared" si="1"/>
        <v>0</v>
      </c>
      <c r="J88" s="250" t="s">
        <v>512</v>
      </c>
    </row>
    <row r="89" spans="1:10" x14ac:dyDescent="0.2">
      <c r="A89" s="165">
        <v>20</v>
      </c>
      <c r="B89" s="152" t="s">
        <v>210</v>
      </c>
      <c r="C89" s="152" t="s">
        <v>396</v>
      </c>
      <c r="D89" s="271" t="s">
        <v>226</v>
      </c>
      <c r="E89" s="188" t="s">
        <v>520</v>
      </c>
      <c r="F89" s="187">
        <v>1500</v>
      </c>
      <c r="G89" s="272">
        <v>41848</v>
      </c>
      <c r="H89" s="152">
        <v>27</v>
      </c>
      <c r="I89" s="170">
        <f t="shared" si="1"/>
        <v>0</v>
      </c>
    </row>
    <row r="90" spans="1:10" x14ac:dyDescent="0.2">
      <c r="A90" s="165">
        <v>22</v>
      </c>
      <c r="B90" s="152" t="s">
        <v>210</v>
      </c>
      <c r="C90" s="152" t="s">
        <v>396</v>
      </c>
      <c r="D90" s="271" t="s">
        <v>227</v>
      </c>
      <c r="E90" s="188" t="s">
        <v>102</v>
      </c>
      <c r="F90" s="187">
        <v>1500</v>
      </c>
      <c r="G90" s="272">
        <v>41841</v>
      </c>
      <c r="H90" s="167">
        <v>23</v>
      </c>
      <c r="I90" s="170">
        <f t="shared" si="1"/>
        <v>0</v>
      </c>
    </row>
    <row r="91" spans="1:10" x14ac:dyDescent="0.2">
      <c r="A91" s="165">
        <v>1</v>
      </c>
      <c r="B91" s="152" t="s">
        <v>160</v>
      </c>
      <c r="C91" s="152" t="s">
        <v>407</v>
      </c>
      <c r="D91" s="271" t="s">
        <v>161</v>
      </c>
      <c r="E91" s="188" t="s">
        <v>165</v>
      </c>
      <c r="F91" s="187">
        <v>1500</v>
      </c>
      <c r="G91" s="272">
        <v>41890</v>
      </c>
      <c r="H91" s="152">
        <v>54</v>
      </c>
      <c r="I91" s="170">
        <f t="shared" si="1"/>
        <v>0</v>
      </c>
    </row>
    <row r="92" spans="1:10" x14ac:dyDescent="0.2">
      <c r="A92" s="165">
        <v>3</v>
      </c>
      <c r="B92" s="152" t="s">
        <v>160</v>
      </c>
      <c r="C92" s="152" t="s">
        <v>407</v>
      </c>
      <c r="D92" s="271" t="s">
        <v>162</v>
      </c>
      <c r="E92" s="188" t="s">
        <v>166</v>
      </c>
      <c r="F92" s="187">
        <v>1500</v>
      </c>
      <c r="G92" s="272">
        <v>41876</v>
      </c>
      <c r="H92" s="152">
        <v>40</v>
      </c>
      <c r="I92" s="170">
        <f t="shared" si="1"/>
        <v>0</v>
      </c>
    </row>
    <row r="93" spans="1:10" x14ac:dyDescent="0.2">
      <c r="A93" s="165">
        <v>4</v>
      </c>
      <c r="B93" s="152" t="s">
        <v>160</v>
      </c>
      <c r="C93" s="152" t="s">
        <v>407</v>
      </c>
      <c r="D93" s="271" t="s">
        <v>163</v>
      </c>
      <c r="E93" s="188" t="s">
        <v>167</v>
      </c>
      <c r="F93" s="187">
        <v>1500</v>
      </c>
      <c r="G93" s="272">
        <v>41852</v>
      </c>
      <c r="H93" s="187">
        <v>32</v>
      </c>
      <c r="I93" s="170">
        <f t="shared" si="1"/>
        <v>0</v>
      </c>
    </row>
    <row r="94" spans="1:10" x14ac:dyDescent="0.2">
      <c r="A94" s="165">
        <v>6</v>
      </c>
      <c r="B94" s="152" t="s">
        <v>160</v>
      </c>
      <c r="C94" s="152" t="s">
        <v>407</v>
      </c>
      <c r="D94" s="271" t="s">
        <v>164</v>
      </c>
      <c r="E94" s="188" t="s">
        <v>168</v>
      </c>
      <c r="F94" s="187">
        <v>1500</v>
      </c>
      <c r="G94" s="272">
        <v>41880</v>
      </c>
      <c r="H94" s="152">
        <v>45</v>
      </c>
      <c r="I94" s="170">
        <f t="shared" si="1"/>
        <v>0</v>
      </c>
    </row>
    <row r="95" spans="1:10" x14ac:dyDescent="0.2">
      <c r="A95" s="165">
        <v>3</v>
      </c>
      <c r="B95" s="152" t="s">
        <v>247</v>
      </c>
      <c r="C95" s="152" t="s">
        <v>402</v>
      </c>
      <c r="D95" s="271" t="s">
        <v>248</v>
      </c>
      <c r="E95" s="188" t="s">
        <v>252</v>
      </c>
      <c r="F95" s="187">
        <v>1500</v>
      </c>
      <c r="G95" s="272">
        <v>41879</v>
      </c>
      <c r="H95" s="152">
        <v>45</v>
      </c>
      <c r="I95" s="170">
        <f t="shared" si="1"/>
        <v>0</v>
      </c>
    </row>
    <row r="96" spans="1:10" x14ac:dyDescent="0.2">
      <c r="A96" s="165">
        <v>4</v>
      </c>
      <c r="B96" s="152" t="s">
        <v>247</v>
      </c>
      <c r="C96" s="152" t="s">
        <v>402</v>
      </c>
      <c r="D96" s="271" t="s">
        <v>249</v>
      </c>
      <c r="E96" s="188" t="s">
        <v>253</v>
      </c>
      <c r="F96" s="187">
        <v>1500</v>
      </c>
      <c r="G96" s="272">
        <v>41841</v>
      </c>
      <c r="H96" s="152">
        <v>23</v>
      </c>
      <c r="I96" s="170">
        <f t="shared" si="1"/>
        <v>0</v>
      </c>
    </row>
    <row r="97" spans="1:10" x14ac:dyDescent="0.2">
      <c r="A97" s="165">
        <v>6</v>
      </c>
      <c r="B97" s="152" t="s">
        <v>247</v>
      </c>
      <c r="C97" s="152" t="s">
        <v>402</v>
      </c>
      <c r="D97" s="271" t="s">
        <v>250</v>
      </c>
      <c r="E97" s="188" t="s">
        <v>254</v>
      </c>
      <c r="F97" s="187">
        <v>1500</v>
      </c>
      <c r="G97" s="272">
        <v>41912</v>
      </c>
      <c r="H97" s="152">
        <v>57</v>
      </c>
      <c r="I97" s="170">
        <f t="shared" si="1"/>
        <v>0</v>
      </c>
    </row>
    <row r="98" spans="1:10" x14ac:dyDescent="0.2">
      <c r="A98" s="165">
        <v>8</v>
      </c>
      <c r="B98" s="152" t="s">
        <v>247</v>
      </c>
      <c r="C98" s="152" t="s">
        <v>402</v>
      </c>
      <c r="D98" s="271" t="s">
        <v>251</v>
      </c>
      <c r="E98" s="188" t="s">
        <v>255</v>
      </c>
      <c r="F98" s="187">
        <v>1500</v>
      </c>
      <c r="G98" s="272">
        <v>41845</v>
      </c>
      <c r="H98" s="152">
        <v>26</v>
      </c>
      <c r="I98" s="170">
        <f t="shared" si="1"/>
        <v>0</v>
      </c>
    </row>
    <row r="99" spans="1:10" x14ac:dyDescent="0.2">
      <c r="B99" s="152" t="s">
        <v>331</v>
      </c>
      <c r="C99" s="152" t="s">
        <v>331</v>
      </c>
      <c r="D99" s="271" t="s">
        <v>332</v>
      </c>
      <c r="E99" s="188" t="s">
        <v>333</v>
      </c>
      <c r="F99" s="187">
        <v>1500</v>
      </c>
      <c r="G99" s="272">
        <v>41851</v>
      </c>
      <c r="H99" s="152">
        <v>31</v>
      </c>
      <c r="I99" s="170">
        <f t="shared" si="1"/>
        <v>0</v>
      </c>
    </row>
    <row r="100" spans="1:10" x14ac:dyDescent="0.2">
      <c r="A100" s="165">
        <v>2</v>
      </c>
      <c r="B100" s="152" t="s">
        <v>193</v>
      </c>
      <c r="C100" s="152" t="s">
        <v>409</v>
      </c>
      <c r="D100" s="271" t="s">
        <v>195</v>
      </c>
      <c r="E100" s="188" t="s">
        <v>204</v>
      </c>
      <c r="F100" s="187">
        <v>1500</v>
      </c>
      <c r="G100" s="272">
        <v>41848</v>
      </c>
      <c r="H100" s="152">
        <v>27</v>
      </c>
      <c r="I100" s="170">
        <f t="shared" si="1"/>
        <v>0</v>
      </c>
    </row>
    <row r="101" spans="1:10" x14ac:dyDescent="0.2">
      <c r="A101" s="165">
        <v>3</v>
      </c>
      <c r="B101" s="152" t="s">
        <v>193</v>
      </c>
      <c r="C101" s="152" t="s">
        <v>409</v>
      </c>
      <c r="D101" s="271" t="s">
        <v>196</v>
      </c>
      <c r="E101" s="188" t="s">
        <v>494</v>
      </c>
      <c r="F101" s="187">
        <v>1500</v>
      </c>
      <c r="G101" s="272">
        <v>41848</v>
      </c>
      <c r="H101" s="152">
        <v>27</v>
      </c>
      <c r="I101" s="170">
        <f t="shared" si="1"/>
        <v>0</v>
      </c>
    </row>
    <row r="102" spans="1:10" x14ac:dyDescent="0.2">
      <c r="A102" s="165">
        <v>4</v>
      </c>
      <c r="B102" s="152" t="s">
        <v>193</v>
      </c>
      <c r="C102" s="152" t="s">
        <v>409</v>
      </c>
      <c r="D102" s="271" t="s">
        <v>197</v>
      </c>
      <c r="E102" s="188" t="s">
        <v>205</v>
      </c>
      <c r="F102" s="187">
        <v>1500</v>
      </c>
      <c r="G102" s="272">
        <v>41841</v>
      </c>
      <c r="H102" s="152">
        <v>23</v>
      </c>
      <c r="I102" s="170">
        <f t="shared" si="1"/>
        <v>0</v>
      </c>
    </row>
    <row r="103" spans="1:10" x14ac:dyDescent="0.2">
      <c r="A103" s="165">
        <v>5</v>
      </c>
      <c r="B103" s="152" t="s">
        <v>193</v>
      </c>
      <c r="C103" s="152" t="s">
        <v>409</v>
      </c>
      <c r="D103" s="271" t="s">
        <v>198</v>
      </c>
      <c r="E103" s="188" t="s">
        <v>206</v>
      </c>
      <c r="F103" s="187">
        <v>1500</v>
      </c>
      <c r="G103" s="272">
        <v>41880</v>
      </c>
      <c r="H103" s="152">
        <v>45</v>
      </c>
      <c r="I103" s="170">
        <f t="shared" si="1"/>
        <v>0</v>
      </c>
    </row>
    <row r="104" spans="1:10" x14ac:dyDescent="0.2">
      <c r="A104" s="165">
        <v>6</v>
      </c>
      <c r="B104" s="152" t="s">
        <v>193</v>
      </c>
      <c r="C104" s="152" t="s">
        <v>409</v>
      </c>
      <c r="D104" s="271" t="s">
        <v>199</v>
      </c>
      <c r="E104" s="188" t="s">
        <v>207</v>
      </c>
      <c r="F104" s="187">
        <v>1500</v>
      </c>
      <c r="G104" s="272">
        <v>41880</v>
      </c>
      <c r="H104" s="152">
        <v>45</v>
      </c>
      <c r="I104" s="170">
        <f t="shared" si="1"/>
        <v>0</v>
      </c>
    </row>
    <row r="105" spans="1:10" x14ac:dyDescent="0.2">
      <c r="A105" s="165">
        <v>8</v>
      </c>
      <c r="B105" s="152" t="s">
        <v>193</v>
      </c>
      <c r="C105" s="152" t="s">
        <v>409</v>
      </c>
      <c r="D105" s="271" t="s">
        <v>200</v>
      </c>
      <c r="E105" s="188" t="s">
        <v>208</v>
      </c>
      <c r="F105" s="187">
        <v>1500</v>
      </c>
      <c r="G105" s="272">
        <v>41859</v>
      </c>
      <c r="H105" s="152">
        <v>35</v>
      </c>
      <c r="I105" s="170">
        <f t="shared" si="1"/>
        <v>0</v>
      </c>
    </row>
    <row r="106" spans="1:10" x14ac:dyDescent="0.2">
      <c r="A106" s="165">
        <v>10</v>
      </c>
      <c r="B106" s="152" t="s">
        <v>193</v>
      </c>
      <c r="C106" s="152" t="s">
        <v>409</v>
      </c>
      <c r="D106" s="271" t="s">
        <v>201</v>
      </c>
      <c r="E106" s="188" t="s">
        <v>209</v>
      </c>
      <c r="F106" s="187">
        <v>1500</v>
      </c>
      <c r="G106" s="272">
        <v>41859</v>
      </c>
      <c r="H106" s="152">
        <v>38</v>
      </c>
      <c r="I106" s="170">
        <f t="shared" si="1"/>
        <v>0</v>
      </c>
    </row>
    <row r="107" spans="1:10" x14ac:dyDescent="0.2">
      <c r="A107" s="165">
        <v>4</v>
      </c>
      <c r="B107" s="152" t="s">
        <v>269</v>
      </c>
      <c r="C107" s="152" t="s">
        <v>410</v>
      </c>
      <c r="D107" s="271" t="s">
        <v>270</v>
      </c>
      <c r="E107" s="188" t="s">
        <v>276</v>
      </c>
      <c r="F107" s="187">
        <v>1500</v>
      </c>
      <c r="G107" s="272">
        <v>41843</v>
      </c>
      <c r="H107" s="152">
        <v>24</v>
      </c>
      <c r="I107" s="170">
        <f t="shared" si="1"/>
        <v>0</v>
      </c>
    </row>
    <row r="108" spans="1:10" x14ac:dyDescent="0.2">
      <c r="A108" s="165">
        <v>6</v>
      </c>
      <c r="B108" s="152" t="s">
        <v>269</v>
      </c>
      <c r="C108" s="152" t="s">
        <v>410</v>
      </c>
      <c r="D108" s="271" t="s">
        <v>271</v>
      </c>
      <c r="E108" s="188" t="s">
        <v>277</v>
      </c>
      <c r="F108" s="187">
        <v>1500</v>
      </c>
      <c r="G108" s="272">
        <v>41880</v>
      </c>
      <c r="H108" s="152">
        <v>45</v>
      </c>
      <c r="I108" s="170">
        <f t="shared" si="1"/>
        <v>0</v>
      </c>
    </row>
    <row r="109" spans="1:10" x14ac:dyDescent="0.2">
      <c r="A109" s="165">
        <v>8</v>
      </c>
      <c r="B109" s="152" t="s">
        <v>269</v>
      </c>
      <c r="C109" s="152" t="s">
        <v>410</v>
      </c>
      <c r="D109" s="271" t="s">
        <v>272</v>
      </c>
      <c r="E109" s="188" t="s">
        <v>368</v>
      </c>
      <c r="F109" s="187">
        <v>1500</v>
      </c>
      <c r="G109" s="272">
        <v>41852</v>
      </c>
      <c r="H109" s="187">
        <v>32</v>
      </c>
      <c r="I109" s="170">
        <f t="shared" si="1"/>
        <v>0</v>
      </c>
    </row>
    <row r="110" spans="1:10" x14ac:dyDescent="0.2">
      <c r="A110" s="165">
        <v>10</v>
      </c>
      <c r="B110" s="152" t="s">
        <v>269</v>
      </c>
      <c r="C110" s="152" t="s">
        <v>410</v>
      </c>
      <c r="D110" s="271" t="s">
        <v>273</v>
      </c>
      <c r="E110" s="188" t="s">
        <v>678</v>
      </c>
      <c r="F110" s="187">
        <v>1500</v>
      </c>
      <c r="G110" s="272">
        <v>41890</v>
      </c>
      <c r="H110" s="152">
        <v>54</v>
      </c>
      <c r="I110" s="170">
        <f t="shared" si="1"/>
        <v>0</v>
      </c>
      <c r="J110" s="250" t="s">
        <v>677</v>
      </c>
    </row>
    <row r="111" spans="1:10" x14ac:dyDescent="0.2">
      <c r="A111" s="165">
        <v>12</v>
      </c>
      <c r="B111" s="152" t="s">
        <v>269</v>
      </c>
      <c r="C111" s="152" t="s">
        <v>410</v>
      </c>
      <c r="D111" s="271" t="s">
        <v>274</v>
      </c>
      <c r="E111" s="188" t="s">
        <v>278</v>
      </c>
      <c r="F111" s="187">
        <v>1500</v>
      </c>
      <c r="G111" s="272">
        <v>41880</v>
      </c>
      <c r="H111" s="152">
        <v>45</v>
      </c>
      <c r="I111" s="170">
        <f t="shared" si="1"/>
        <v>0</v>
      </c>
    </row>
    <row r="112" spans="1:10" x14ac:dyDescent="0.2">
      <c r="A112" s="165">
        <v>14</v>
      </c>
      <c r="B112" s="152" t="s">
        <v>269</v>
      </c>
      <c r="C112" s="152" t="s">
        <v>410</v>
      </c>
      <c r="D112" s="271" t="s">
        <v>275</v>
      </c>
      <c r="E112" s="188" t="s">
        <v>279</v>
      </c>
      <c r="F112" s="187">
        <v>1500</v>
      </c>
      <c r="G112" s="272">
        <v>41880</v>
      </c>
      <c r="H112" s="152">
        <v>45</v>
      </c>
      <c r="I112" s="170">
        <f t="shared" si="1"/>
        <v>0</v>
      </c>
    </row>
    <row r="113" spans="1:10" x14ac:dyDescent="0.2">
      <c r="A113" s="165">
        <v>2</v>
      </c>
      <c r="B113" s="152" t="s">
        <v>311</v>
      </c>
      <c r="C113" s="152" t="s">
        <v>401</v>
      </c>
      <c r="D113" s="271" t="s">
        <v>312</v>
      </c>
      <c r="E113" s="188" t="s">
        <v>514</v>
      </c>
      <c r="F113" s="187">
        <v>1500</v>
      </c>
      <c r="G113" s="272">
        <v>41837</v>
      </c>
      <c r="H113" s="152">
        <v>22</v>
      </c>
      <c r="I113" s="170">
        <f t="shared" si="1"/>
        <v>0</v>
      </c>
      <c r="J113" s="250" t="s">
        <v>513</v>
      </c>
    </row>
    <row r="114" spans="1:10" x14ac:dyDescent="0.2">
      <c r="A114" s="165">
        <v>4</v>
      </c>
      <c r="B114" s="152" t="s">
        <v>311</v>
      </c>
      <c r="C114" s="152" t="s">
        <v>401</v>
      </c>
      <c r="D114" s="271" t="s">
        <v>314</v>
      </c>
      <c r="E114" s="188" t="s">
        <v>315</v>
      </c>
      <c r="F114" s="187">
        <v>1500</v>
      </c>
      <c r="G114" s="272">
        <v>41848</v>
      </c>
      <c r="H114" s="152">
        <v>27</v>
      </c>
      <c r="I114" s="170">
        <f t="shared" si="1"/>
        <v>0</v>
      </c>
      <c r="J114" s="250" t="s">
        <v>509</v>
      </c>
    </row>
    <row r="115" spans="1:10" x14ac:dyDescent="0.2">
      <c r="A115" s="165">
        <v>3</v>
      </c>
      <c r="B115" s="152" t="s">
        <v>313</v>
      </c>
      <c r="C115" s="152" t="s">
        <v>411</v>
      </c>
      <c r="D115" s="271" t="s">
        <v>316</v>
      </c>
      <c r="E115" s="188" t="s">
        <v>504</v>
      </c>
      <c r="F115" s="187">
        <v>1500</v>
      </c>
      <c r="G115" s="272">
        <v>41880</v>
      </c>
      <c r="H115" s="152">
        <v>45</v>
      </c>
      <c r="I115" s="170">
        <f t="shared" si="1"/>
        <v>0</v>
      </c>
    </row>
    <row r="116" spans="1:10" x14ac:dyDescent="0.2">
      <c r="A116" s="165">
        <v>4</v>
      </c>
      <c r="B116" s="152" t="s">
        <v>313</v>
      </c>
      <c r="C116" s="152" t="s">
        <v>411</v>
      </c>
      <c r="D116" s="271" t="s">
        <v>317</v>
      </c>
      <c r="E116" s="188" t="s">
        <v>325</v>
      </c>
      <c r="F116" s="187">
        <v>1500</v>
      </c>
      <c r="G116" s="272">
        <v>41880</v>
      </c>
      <c r="H116" s="152">
        <v>45</v>
      </c>
      <c r="I116" s="170">
        <f t="shared" si="1"/>
        <v>0</v>
      </c>
    </row>
    <row r="117" spans="1:10" x14ac:dyDescent="0.2">
      <c r="A117" s="165">
        <v>5</v>
      </c>
      <c r="B117" s="152" t="s">
        <v>313</v>
      </c>
      <c r="C117" s="152" t="s">
        <v>411</v>
      </c>
      <c r="D117" s="271" t="s">
        <v>318</v>
      </c>
      <c r="E117" s="188" t="s">
        <v>367</v>
      </c>
      <c r="F117" s="187">
        <v>1500</v>
      </c>
      <c r="G117" s="272">
        <v>41852</v>
      </c>
      <c r="H117" s="187">
        <v>32</v>
      </c>
      <c r="I117" s="170">
        <f t="shared" si="1"/>
        <v>0</v>
      </c>
      <c r="J117" s="304"/>
    </row>
    <row r="118" spans="1:10" x14ac:dyDescent="0.2">
      <c r="A118" s="165">
        <v>7</v>
      </c>
      <c r="B118" s="152" t="s">
        <v>313</v>
      </c>
      <c r="C118" s="152" t="s">
        <v>411</v>
      </c>
      <c r="D118" s="271" t="s">
        <v>319</v>
      </c>
      <c r="E118" s="188" t="s">
        <v>326</v>
      </c>
      <c r="F118" s="187">
        <v>1500</v>
      </c>
      <c r="G118" s="272">
        <v>41848</v>
      </c>
      <c r="H118" s="152">
        <v>27</v>
      </c>
      <c r="I118" s="170">
        <f t="shared" si="1"/>
        <v>0</v>
      </c>
    </row>
    <row r="119" spans="1:10" x14ac:dyDescent="0.2">
      <c r="A119" s="165">
        <v>9</v>
      </c>
      <c r="B119" s="152" t="s">
        <v>313</v>
      </c>
      <c r="C119" s="152" t="s">
        <v>411</v>
      </c>
      <c r="D119" s="271" t="s">
        <v>320</v>
      </c>
      <c r="E119" s="188" t="s">
        <v>327</v>
      </c>
      <c r="F119" s="187">
        <v>1500</v>
      </c>
      <c r="G119" s="272">
        <v>41880</v>
      </c>
      <c r="H119" s="152">
        <v>45</v>
      </c>
      <c r="I119" s="170">
        <f t="shared" si="1"/>
        <v>0</v>
      </c>
    </row>
    <row r="120" spans="1:10" x14ac:dyDescent="0.2">
      <c r="A120" s="165">
        <v>11</v>
      </c>
      <c r="B120" s="152" t="s">
        <v>313</v>
      </c>
      <c r="C120" s="152" t="s">
        <v>411</v>
      </c>
      <c r="D120" s="271" t="s">
        <v>321</v>
      </c>
      <c r="E120" s="188" t="s">
        <v>502</v>
      </c>
      <c r="F120" s="187">
        <v>1500</v>
      </c>
      <c r="G120" s="272">
        <v>41890</v>
      </c>
      <c r="H120" s="152">
        <v>54</v>
      </c>
      <c r="I120" s="170">
        <f t="shared" si="1"/>
        <v>0</v>
      </c>
      <c r="J120" s="250" t="s">
        <v>501</v>
      </c>
    </row>
    <row r="121" spans="1:10" x14ac:dyDescent="0.2">
      <c r="A121" s="165">
        <v>13</v>
      </c>
      <c r="B121" s="152" t="s">
        <v>313</v>
      </c>
      <c r="C121" s="152" t="s">
        <v>411</v>
      </c>
      <c r="D121" s="271" t="s">
        <v>322</v>
      </c>
      <c r="E121" s="188" t="s">
        <v>328</v>
      </c>
      <c r="F121" s="187">
        <v>1500</v>
      </c>
      <c r="G121" s="272">
        <v>41880</v>
      </c>
      <c r="H121" s="152">
        <v>45</v>
      </c>
      <c r="I121" s="170">
        <f t="shared" si="1"/>
        <v>0</v>
      </c>
    </row>
    <row r="122" spans="1:10" x14ac:dyDescent="0.2">
      <c r="A122" s="165">
        <v>15</v>
      </c>
      <c r="B122" s="152" t="s">
        <v>313</v>
      </c>
      <c r="C122" s="152" t="s">
        <v>411</v>
      </c>
      <c r="D122" s="271" t="s">
        <v>323</v>
      </c>
      <c r="E122" s="188" t="s">
        <v>329</v>
      </c>
      <c r="F122" s="187">
        <v>1500</v>
      </c>
      <c r="G122" s="272">
        <v>41866</v>
      </c>
      <c r="H122" s="152">
        <v>37</v>
      </c>
      <c r="I122" s="170">
        <f t="shared" si="1"/>
        <v>0</v>
      </c>
    </row>
    <row r="123" spans="1:10" x14ac:dyDescent="0.2">
      <c r="A123" s="165">
        <v>17</v>
      </c>
      <c r="B123" s="152" t="s">
        <v>313</v>
      </c>
      <c r="C123" s="152" t="s">
        <v>411</v>
      </c>
      <c r="D123" s="271" t="s">
        <v>324</v>
      </c>
      <c r="E123" s="188" t="s">
        <v>330</v>
      </c>
      <c r="F123" s="187">
        <v>1500</v>
      </c>
      <c r="G123" s="272">
        <v>41851</v>
      </c>
      <c r="H123" s="152">
        <v>31</v>
      </c>
      <c r="I123" s="170">
        <f t="shared" si="1"/>
        <v>0</v>
      </c>
    </row>
    <row r="124" spans="1:10" ht="15" x14ac:dyDescent="0.25">
      <c r="F124" s="379">
        <f>SUM(F7:F123)</f>
        <v>174250.6</v>
      </c>
      <c r="G124" s="379"/>
      <c r="H124" s="380"/>
      <c r="I124" s="381">
        <f>SUM(I7:I123)</f>
        <v>0</v>
      </c>
    </row>
    <row r="126" spans="1:10" x14ac:dyDescent="0.2">
      <c r="D126" s="162" t="s">
        <v>422</v>
      </c>
    </row>
  </sheetData>
  <autoFilter ref="A6:J124"/>
  <sortState ref="A7:J125">
    <sortCondition ref="B7:B125"/>
    <sortCondition ref="A7:A125"/>
  </sortState>
  <pageMargins left="0.70866141732283472" right="0.70866141732283472" top="0.74803149606299213" bottom="0.74803149606299213" header="0.31496062992125984" footer="0.31496062992125984"/>
  <pageSetup scale="68" fitToHeight="4" orientation="landscape" horizontalDpi="4294967293" verticalDpi="4294967293" r:id="rId1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L28"/>
  <sheetViews>
    <sheetView workbookViewId="0">
      <selection activeCell="I33" sqref="I33"/>
    </sheetView>
  </sheetViews>
  <sheetFormatPr defaultRowHeight="12.75" x14ac:dyDescent="0.2"/>
  <cols>
    <col min="1" max="1" width="1.42578125" style="30" customWidth="1"/>
    <col min="2" max="2" width="18.7109375" style="30" customWidth="1"/>
    <col min="3" max="3" width="9.7109375" style="30" bestFit="1" customWidth="1"/>
    <col min="4" max="10" width="9.140625" style="30"/>
    <col min="11" max="12" width="12.28515625" style="30" customWidth="1"/>
    <col min="13" max="16384" width="9.140625" style="30"/>
  </cols>
  <sheetData>
    <row r="3" spans="2:12" ht="6" customHeight="1" thickBot="1" x14ac:dyDescent="0.25"/>
    <row r="4" spans="2:12" x14ac:dyDescent="0.2">
      <c r="B4" s="451" t="s">
        <v>377</v>
      </c>
      <c r="C4" s="452"/>
      <c r="D4" s="452"/>
      <c r="E4" s="452"/>
      <c r="F4" s="452"/>
      <c r="G4" s="452"/>
      <c r="H4" s="452"/>
      <c r="I4" s="452"/>
      <c r="J4" s="452"/>
      <c r="K4" s="453"/>
    </row>
    <row r="5" spans="2:12" ht="18" customHeight="1" thickBot="1" x14ac:dyDescent="0.25">
      <c r="B5" s="454"/>
      <c r="C5" s="455"/>
      <c r="D5" s="455"/>
      <c r="E5" s="455"/>
      <c r="F5" s="455"/>
      <c r="G5" s="455"/>
      <c r="H5" s="455"/>
      <c r="I5" s="455"/>
      <c r="J5" s="455"/>
      <c r="K5" s="456"/>
    </row>
    <row r="6" spans="2:12" ht="66" customHeight="1" thickBot="1" x14ac:dyDescent="0.25">
      <c r="B6" s="99" t="s">
        <v>49</v>
      </c>
      <c r="C6" s="100" t="s">
        <v>91</v>
      </c>
      <c r="D6" s="101" t="s">
        <v>92</v>
      </c>
      <c r="E6" s="101" t="s">
        <v>93</v>
      </c>
      <c r="F6" s="457" t="s">
        <v>94</v>
      </c>
      <c r="G6" s="458"/>
      <c r="H6" s="100" t="s">
        <v>378</v>
      </c>
      <c r="I6" s="102" t="s">
        <v>95</v>
      </c>
      <c r="J6" s="214" t="s">
        <v>379</v>
      </c>
      <c r="K6" s="103" t="s">
        <v>96</v>
      </c>
    </row>
    <row r="7" spans="2:12" x14ac:dyDescent="0.2">
      <c r="B7" s="240" t="s">
        <v>97</v>
      </c>
      <c r="C7" s="241">
        <v>6000</v>
      </c>
      <c r="D7" s="242">
        <f>0.35*C7</f>
        <v>2100</v>
      </c>
      <c r="E7" s="105">
        <f>C7-D7</f>
        <v>3900</v>
      </c>
      <c r="F7" s="106">
        <v>0.1021</v>
      </c>
      <c r="G7" s="107">
        <f>C7*F7</f>
        <v>612.6</v>
      </c>
      <c r="H7" s="216">
        <v>4</v>
      </c>
      <c r="I7" s="104">
        <f>H7*200</f>
        <v>800</v>
      </c>
      <c r="J7" s="215"/>
      <c r="K7" s="108">
        <f>E7+I7+J7</f>
        <v>4700</v>
      </c>
      <c r="L7" s="2" t="s">
        <v>414</v>
      </c>
    </row>
    <row r="8" spans="2:12" x14ac:dyDescent="0.2">
      <c r="B8" s="112" t="s">
        <v>45</v>
      </c>
      <c r="C8" s="243">
        <v>4600</v>
      </c>
      <c r="D8" s="244">
        <f t="shared" ref="D8:D9" si="0">0.35*C8</f>
        <v>1610</v>
      </c>
      <c r="E8" s="105">
        <f t="shared" ref="E8:E15" si="1">C8-D8</f>
        <v>2990</v>
      </c>
      <c r="F8" s="111">
        <v>0.31419999999999998</v>
      </c>
      <c r="G8" s="107">
        <f t="shared" ref="G8:G15" si="2">C8*F8</f>
        <v>1445.32</v>
      </c>
      <c r="H8" s="217">
        <v>4</v>
      </c>
      <c r="I8" s="104">
        <f t="shared" ref="I8:I14" si="3">H8*200</f>
        <v>800</v>
      </c>
      <c r="J8" s="215">
        <v>200</v>
      </c>
      <c r="K8" s="108">
        <f>E8+I8+J8</f>
        <v>3990</v>
      </c>
      <c r="L8" s="2" t="s">
        <v>414</v>
      </c>
    </row>
    <row r="9" spans="2:12" x14ac:dyDescent="0.2">
      <c r="B9" s="112" t="s">
        <v>99</v>
      </c>
      <c r="C9" s="243">
        <v>3200</v>
      </c>
      <c r="D9" s="244">
        <f t="shared" si="0"/>
        <v>1120</v>
      </c>
      <c r="E9" s="105">
        <f t="shared" si="1"/>
        <v>2080</v>
      </c>
      <c r="F9" s="111">
        <v>0.31419999999999998</v>
      </c>
      <c r="G9" s="107">
        <f t="shared" si="2"/>
        <v>1005.4399999999999</v>
      </c>
      <c r="H9" s="217">
        <v>4</v>
      </c>
      <c r="I9" s="104">
        <f t="shared" si="3"/>
        <v>800</v>
      </c>
      <c r="J9" s="215"/>
      <c r="K9" s="251">
        <f t="shared" ref="K9:K15" si="4">E9+I9+J9</f>
        <v>2880</v>
      </c>
      <c r="L9" s="2" t="s">
        <v>413</v>
      </c>
    </row>
    <row r="10" spans="2:12" x14ac:dyDescent="0.2">
      <c r="B10" s="112" t="s">
        <v>100</v>
      </c>
      <c r="C10" s="243">
        <v>0</v>
      </c>
      <c r="D10" s="244"/>
      <c r="E10" s="105">
        <f t="shared" si="1"/>
        <v>0</v>
      </c>
      <c r="F10" s="111"/>
      <c r="G10" s="107">
        <f t="shared" si="2"/>
        <v>0</v>
      </c>
      <c r="H10" s="217">
        <v>4</v>
      </c>
      <c r="I10" s="104">
        <f t="shared" si="3"/>
        <v>800</v>
      </c>
      <c r="J10" s="215"/>
      <c r="K10" s="251">
        <f t="shared" si="4"/>
        <v>800</v>
      </c>
      <c r="L10" s="30" t="s">
        <v>388</v>
      </c>
    </row>
    <row r="11" spans="2:12" x14ac:dyDescent="0.2">
      <c r="B11" s="112" t="s">
        <v>101</v>
      </c>
      <c r="C11" s="241">
        <v>0</v>
      </c>
      <c r="D11" s="242"/>
      <c r="E11" s="105">
        <f t="shared" si="1"/>
        <v>0</v>
      </c>
      <c r="F11" s="113"/>
      <c r="G11" s="107">
        <f t="shared" si="2"/>
        <v>0</v>
      </c>
      <c r="H11" s="217">
        <v>3</v>
      </c>
      <c r="I11" s="104">
        <f t="shared" si="3"/>
        <v>600</v>
      </c>
      <c r="J11" s="215">
        <v>200</v>
      </c>
      <c r="K11" s="251">
        <f t="shared" si="4"/>
        <v>800</v>
      </c>
      <c r="L11" s="30" t="s">
        <v>388</v>
      </c>
    </row>
    <row r="12" spans="2:12" x14ac:dyDescent="0.2">
      <c r="B12" s="112" t="s">
        <v>102</v>
      </c>
      <c r="C12" s="243">
        <v>0</v>
      </c>
      <c r="D12" s="244"/>
      <c r="E12" s="105">
        <f t="shared" si="1"/>
        <v>0</v>
      </c>
      <c r="F12" s="114"/>
      <c r="G12" s="107">
        <f t="shared" si="2"/>
        <v>0</v>
      </c>
      <c r="H12" s="217">
        <v>4</v>
      </c>
      <c r="I12" s="104">
        <f t="shared" si="3"/>
        <v>800</v>
      </c>
      <c r="J12" s="215"/>
      <c r="K12" s="251">
        <f t="shared" si="4"/>
        <v>800</v>
      </c>
      <c r="L12" s="30" t="s">
        <v>388</v>
      </c>
    </row>
    <row r="13" spans="2:12" x14ac:dyDescent="0.2">
      <c r="B13" s="112" t="s">
        <v>310</v>
      </c>
      <c r="C13" s="243">
        <v>0</v>
      </c>
      <c r="D13" s="244"/>
      <c r="E13" s="105">
        <f t="shared" si="1"/>
        <v>0</v>
      </c>
      <c r="F13" s="114"/>
      <c r="G13" s="107">
        <f t="shared" si="2"/>
        <v>0</v>
      </c>
      <c r="H13" s="217">
        <v>1</v>
      </c>
      <c r="I13" s="104">
        <f t="shared" si="3"/>
        <v>200</v>
      </c>
      <c r="J13" s="215"/>
      <c r="K13" s="108">
        <f t="shared" si="4"/>
        <v>200</v>
      </c>
    </row>
    <row r="14" spans="2:12" x14ac:dyDescent="0.2">
      <c r="B14" s="112" t="s">
        <v>103</v>
      </c>
      <c r="C14" s="243">
        <v>0</v>
      </c>
      <c r="D14" s="244"/>
      <c r="E14" s="105">
        <f t="shared" si="1"/>
        <v>0</v>
      </c>
      <c r="F14" s="114"/>
      <c r="G14" s="107">
        <f t="shared" si="2"/>
        <v>0</v>
      </c>
      <c r="H14" s="217">
        <v>4</v>
      </c>
      <c r="I14" s="104">
        <f t="shared" si="3"/>
        <v>800</v>
      </c>
      <c r="J14" s="215">
        <v>200</v>
      </c>
      <c r="K14" s="251">
        <f t="shared" si="4"/>
        <v>1000</v>
      </c>
      <c r="L14" s="30" t="s">
        <v>388</v>
      </c>
    </row>
    <row r="15" spans="2:12" ht="13.5" thickBot="1" x14ac:dyDescent="0.25">
      <c r="B15" s="112" t="s">
        <v>104</v>
      </c>
      <c r="C15" s="243">
        <v>200</v>
      </c>
      <c r="D15" s="244">
        <v>0</v>
      </c>
      <c r="E15" s="105">
        <f t="shared" si="1"/>
        <v>200</v>
      </c>
      <c r="F15" s="114"/>
      <c r="G15" s="107">
        <f t="shared" si="2"/>
        <v>0</v>
      </c>
      <c r="H15" s="217">
        <v>0</v>
      </c>
      <c r="I15" s="109">
        <f>F15</f>
        <v>0</v>
      </c>
      <c r="J15" s="215"/>
      <c r="K15" s="251">
        <f t="shared" si="4"/>
        <v>200</v>
      </c>
      <c r="L15" s="30" t="s">
        <v>389</v>
      </c>
    </row>
    <row r="16" spans="2:12" ht="13.5" thickBot="1" x14ac:dyDescent="0.25">
      <c r="B16" s="115" t="s">
        <v>35</v>
      </c>
      <c r="C16" s="116">
        <f t="shared" ref="C16:H16" si="5">SUM(C7:C15)</f>
        <v>14000</v>
      </c>
      <c r="D16" s="117">
        <f t="shared" si="5"/>
        <v>4830</v>
      </c>
      <c r="E16" s="117">
        <f t="shared" si="5"/>
        <v>9170</v>
      </c>
      <c r="F16" s="116"/>
      <c r="G16" s="118">
        <f t="shared" si="5"/>
        <v>3063.36</v>
      </c>
      <c r="H16" s="119">
        <f t="shared" si="5"/>
        <v>28</v>
      </c>
      <c r="I16" s="120">
        <f t="shared" ref="I16" si="6">H16*200</f>
        <v>5600</v>
      </c>
      <c r="J16" s="120">
        <f>SUM(J7:J15)</f>
        <v>600</v>
      </c>
      <c r="K16" s="121">
        <f>SUM(K7:K15)</f>
        <v>15370</v>
      </c>
    </row>
    <row r="17" spans="2:11" x14ac:dyDescent="0.2">
      <c r="B17" s="122"/>
      <c r="C17" s="123"/>
      <c r="D17" s="124"/>
      <c r="E17" s="124"/>
      <c r="F17" s="123"/>
      <c r="G17" s="123"/>
      <c r="H17" s="125"/>
      <c r="I17" s="126"/>
      <c r="J17" s="126"/>
      <c r="K17" s="123"/>
    </row>
    <row r="18" spans="2:11" s="220" customFormat="1" x14ac:dyDescent="0.2">
      <c r="B18" s="131"/>
      <c r="C18" s="127"/>
      <c r="D18" s="128"/>
      <c r="E18" s="128"/>
      <c r="F18" s="127"/>
      <c r="G18" s="127"/>
      <c r="H18" s="129"/>
      <c r="I18" s="130"/>
      <c r="J18" s="130"/>
      <c r="K18" s="127"/>
    </row>
    <row r="19" spans="2:11" ht="13.5" thickBot="1" x14ac:dyDescent="0.25">
      <c r="B19" s="218"/>
      <c r="C19" s="219"/>
      <c r="D19" s="131"/>
      <c r="E19" s="128"/>
      <c r="F19" s="127"/>
      <c r="G19" s="127"/>
      <c r="H19" s="129"/>
      <c r="I19" s="130"/>
      <c r="J19" s="130"/>
      <c r="K19" s="127"/>
    </row>
    <row r="20" spans="2:11" ht="13.5" thickBot="1" x14ac:dyDescent="0.25">
      <c r="B20" s="132" t="s">
        <v>105</v>
      </c>
      <c r="C20" s="133" t="s">
        <v>380</v>
      </c>
      <c r="D20" s="134"/>
      <c r="E20" s="135"/>
      <c r="F20" s="121"/>
      <c r="G20" s="127"/>
      <c r="H20" s="129"/>
      <c r="I20" s="130"/>
      <c r="J20" s="130"/>
      <c r="K20" s="127"/>
    </row>
    <row r="21" spans="2:11" x14ac:dyDescent="0.2">
      <c r="B21" s="136" t="s">
        <v>106</v>
      </c>
      <c r="C21" s="137">
        <f>SUM(C7:C15)</f>
        <v>14000</v>
      </c>
      <c r="D21" s="138" t="s">
        <v>107</v>
      </c>
      <c r="E21" s="137">
        <f>SUM(E6:E15)</f>
        <v>9170</v>
      </c>
      <c r="F21" s="139"/>
    </row>
    <row r="22" spans="2:11" x14ac:dyDescent="0.2">
      <c r="B22" s="140" t="s">
        <v>108</v>
      </c>
      <c r="C22" s="141">
        <v>310</v>
      </c>
      <c r="D22" s="142" t="s">
        <v>107</v>
      </c>
      <c r="E22" s="141">
        <v>201.5</v>
      </c>
      <c r="F22" s="143"/>
    </row>
    <row r="23" spans="2:11" x14ac:dyDescent="0.2">
      <c r="B23" s="140" t="s">
        <v>109</v>
      </c>
      <c r="C23" s="141">
        <f>D16</f>
        <v>4830</v>
      </c>
      <c r="D23" s="142"/>
      <c r="E23" s="110"/>
      <c r="F23" s="143"/>
    </row>
    <row r="24" spans="2:11" x14ac:dyDescent="0.2">
      <c r="B24" s="140" t="s">
        <v>110</v>
      </c>
      <c r="C24" s="141">
        <f>I16+J16</f>
        <v>6200</v>
      </c>
      <c r="D24" s="142"/>
      <c r="E24" s="110"/>
      <c r="F24" s="143"/>
    </row>
    <row r="25" spans="2:11" x14ac:dyDescent="0.2">
      <c r="B25" s="221" t="s">
        <v>381</v>
      </c>
      <c r="C25" s="222">
        <f>D16</f>
        <v>4830</v>
      </c>
      <c r="D25" s="223"/>
      <c r="E25" s="224"/>
      <c r="F25" s="225"/>
    </row>
    <row r="26" spans="2:11" ht="13.5" thickBot="1" x14ac:dyDescent="0.25">
      <c r="B26" s="144" t="s">
        <v>111</v>
      </c>
      <c r="C26" s="145">
        <f>G16</f>
        <v>3063.36</v>
      </c>
      <c r="D26" s="146"/>
      <c r="E26" s="147"/>
      <c r="F26" s="148"/>
    </row>
    <row r="27" spans="2:11" ht="13.5" thickBot="1" x14ac:dyDescent="0.25">
      <c r="B27" s="144" t="s">
        <v>382</v>
      </c>
      <c r="C27" s="145">
        <f>E21+C24</f>
        <v>15370</v>
      </c>
      <c r="D27" s="146"/>
      <c r="E27" s="147"/>
      <c r="F27" s="148"/>
      <c r="I27" s="149"/>
      <c r="J27" s="149"/>
      <c r="K27" s="150"/>
    </row>
    <row r="28" spans="2:11" ht="16.5" customHeight="1" thickBot="1" x14ac:dyDescent="0.25">
      <c r="B28" s="144" t="s">
        <v>383</v>
      </c>
      <c r="C28" s="145">
        <f>C26</f>
        <v>3063.36</v>
      </c>
      <c r="D28" s="146"/>
      <c r="E28" s="147"/>
      <c r="F28" s="148"/>
    </row>
  </sheetData>
  <mergeCells count="2">
    <mergeCell ref="B4:K5"/>
    <mergeCell ref="F6:G6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L29"/>
  <sheetViews>
    <sheetView workbookViewId="0">
      <selection activeCell="H35" sqref="H35"/>
    </sheetView>
  </sheetViews>
  <sheetFormatPr defaultRowHeight="12.75" x14ac:dyDescent="0.2"/>
  <cols>
    <col min="1" max="1" width="1.42578125" style="30" customWidth="1"/>
    <col min="2" max="2" width="18.7109375" style="30" customWidth="1"/>
    <col min="3" max="3" width="9.7109375" style="30" bestFit="1" customWidth="1"/>
    <col min="4" max="10" width="9.140625" style="30"/>
    <col min="11" max="12" width="12.28515625" style="30" customWidth="1"/>
    <col min="13" max="16384" width="9.140625" style="30"/>
  </cols>
  <sheetData>
    <row r="3" spans="2:12" ht="6" customHeight="1" thickBot="1" x14ac:dyDescent="0.25"/>
    <row r="4" spans="2:12" x14ac:dyDescent="0.2">
      <c r="B4" s="451" t="s">
        <v>462</v>
      </c>
      <c r="C4" s="452"/>
      <c r="D4" s="452"/>
      <c r="E4" s="452"/>
      <c r="F4" s="452"/>
      <c r="G4" s="452"/>
      <c r="H4" s="452"/>
      <c r="I4" s="452"/>
      <c r="J4" s="452"/>
      <c r="K4" s="453"/>
    </row>
    <row r="5" spans="2:12" ht="18" customHeight="1" thickBot="1" x14ac:dyDescent="0.25">
      <c r="B5" s="454"/>
      <c r="C5" s="455"/>
      <c r="D5" s="455"/>
      <c r="E5" s="455"/>
      <c r="F5" s="455"/>
      <c r="G5" s="455"/>
      <c r="H5" s="455"/>
      <c r="I5" s="455"/>
      <c r="J5" s="455"/>
      <c r="K5" s="456"/>
    </row>
    <row r="6" spans="2:12" ht="66" customHeight="1" thickBot="1" x14ac:dyDescent="0.25">
      <c r="B6" s="99" t="s">
        <v>49</v>
      </c>
      <c r="C6" s="100" t="s">
        <v>91</v>
      </c>
      <c r="D6" s="101" t="s">
        <v>92</v>
      </c>
      <c r="E6" s="101" t="s">
        <v>93</v>
      </c>
      <c r="F6" s="457" t="s">
        <v>94</v>
      </c>
      <c r="G6" s="458"/>
      <c r="H6" s="100" t="s">
        <v>463</v>
      </c>
      <c r="I6" s="102" t="s">
        <v>95</v>
      </c>
      <c r="J6" s="214" t="s">
        <v>379</v>
      </c>
      <c r="K6" s="103" t="s">
        <v>464</v>
      </c>
    </row>
    <row r="7" spans="2:12" x14ac:dyDescent="0.2">
      <c r="B7" s="240" t="s">
        <v>97</v>
      </c>
      <c r="C7" s="241">
        <v>6000</v>
      </c>
      <c r="D7" s="242">
        <f>0.35*C7</f>
        <v>2100</v>
      </c>
      <c r="E7" s="105">
        <f>C7-D7</f>
        <v>3900</v>
      </c>
      <c r="F7" s="106">
        <v>0.1021</v>
      </c>
      <c r="G7" s="107">
        <f>C7*F7</f>
        <v>612.6</v>
      </c>
      <c r="H7" s="291">
        <v>5</v>
      </c>
      <c r="I7" s="104">
        <f>H7*200</f>
        <v>1000</v>
      </c>
      <c r="J7" s="215"/>
      <c r="K7" s="290">
        <f>E7+I7+J7</f>
        <v>4900</v>
      </c>
      <c r="L7" s="30" t="s">
        <v>476</v>
      </c>
    </row>
    <row r="8" spans="2:12" x14ac:dyDescent="0.2">
      <c r="B8" s="112" t="s">
        <v>45</v>
      </c>
      <c r="C8" s="243">
        <v>4600</v>
      </c>
      <c r="D8" s="244">
        <f t="shared" ref="D8:D9" si="0">0.35*C8</f>
        <v>1610</v>
      </c>
      <c r="E8" s="105">
        <f t="shared" ref="E8:E16" si="1">C8-D8</f>
        <v>2990</v>
      </c>
      <c r="F8" s="111">
        <v>0.31419999999999998</v>
      </c>
      <c r="G8" s="107">
        <f t="shared" ref="G8:G16" si="2">C8*F8</f>
        <v>1445.32</v>
      </c>
      <c r="H8" s="292">
        <v>5</v>
      </c>
      <c r="I8" s="104">
        <f t="shared" ref="I8:I15" si="3">H8*200</f>
        <v>1000</v>
      </c>
      <c r="J8" s="215"/>
      <c r="K8" s="290">
        <f>E8+I8+J8</f>
        <v>3990</v>
      </c>
      <c r="L8" s="30" t="s">
        <v>493</v>
      </c>
    </row>
    <row r="9" spans="2:12" x14ac:dyDescent="0.2">
      <c r="B9" s="112" t="s">
        <v>99</v>
      </c>
      <c r="C9" s="243">
        <v>3200</v>
      </c>
      <c r="D9" s="244">
        <f t="shared" si="0"/>
        <v>1120</v>
      </c>
      <c r="E9" s="105">
        <f t="shared" si="1"/>
        <v>2080</v>
      </c>
      <c r="F9" s="111">
        <v>0.31419999999999998</v>
      </c>
      <c r="G9" s="107">
        <f t="shared" si="2"/>
        <v>1005.4399999999999</v>
      </c>
      <c r="H9" s="292">
        <v>5</v>
      </c>
      <c r="I9" s="104">
        <f t="shared" si="3"/>
        <v>1000</v>
      </c>
      <c r="J9" s="215">
        <v>200</v>
      </c>
      <c r="K9" s="290">
        <f t="shared" ref="K9:K16" si="4">E9+I9+J9</f>
        <v>3280</v>
      </c>
      <c r="L9" s="30" t="s">
        <v>474</v>
      </c>
    </row>
    <row r="10" spans="2:12" x14ac:dyDescent="0.2">
      <c r="B10" s="112" t="s">
        <v>465</v>
      </c>
      <c r="C10" s="243">
        <v>0</v>
      </c>
      <c r="D10" s="244"/>
      <c r="E10" s="105">
        <f t="shared" si="1"/>
        <v>0</v>
      </c>
      <c r="F10" s="111"/>
      <c r="G10" s="107">
        <f t="shared" si="2"/>
        <v>0</v>
      </c>
      <c r="H10" s="292">
        <v>4</v>
      </c>
      <c r="I10" s="104">
        <f t="shared" si="3"/>
        <v>800</v>
      </c>
      <c r="J10" s="215">
        <v>200</v>
      </c>
      <c r="K10" s="290">
        <f t="shared" si="4"/>
        <v>1000</v>
      </c>
      <c r="L10" s="30" t="s">
        <v>474</v>
      </c>
    </row>
    <row r="11" spans="2:12" x14ac:dyDescent="0.2">
      <c r="B11" s="112" t="s">
        <v>101</v>
      </c>
      <c r="C11" s="241">
        <v>0</v>
      </c>
      <c r="D11" s="242"/>
      <c r="E11" s="105">
        <f t="shared" si="1"/>
        <v>0</v>
      </c>
      <c r="F11" s="113"/>
      <c r="G11" s="107">
        <f t="shared" si="2"/>
        <v>0</v>
      </c>
      <c r="H11" s="292">
        <v>3</v>
      </c>
      <c r="I11" s="104">
        <f t="shared" si="3"/>
        <v>600</v>
      </c>
      <c r="J11" s="215"/>
      <c r="K11" s="290">
        <f t="shared" si="4"/>
        <v>600</v>
      </c>
      <c r="L11" s="30" t="s">
        <v>474</v>
      </c>
    </row>
    <row r="12" spans="2:12" x14ac:dyDescent="0.2">
      <c r="B12" s="112" t="s">
        <v>102</v>
      </c>
      <c r="C12" s="243">
        <v>0</v>
      </c>
      <c r="D12" s="244"/>
      <c r="E12" s="105">
        <f t="shared" si="1"/>
        <v>0</v>
      </c>
      <c r="F12" s="114"/>
      <c r="G12" s="107">
        <f t="shared" si="2"/>
        <v>0</v>
      </c>
      <c r="H12" s="292">
        <v>4</v>
      </c>
      <c r="I12" s="104">
        <f t="shared" si="3"/>
        <v>800</v>
      </c>
      <c r="J12" s="215">
        <v>200</v>
      </c>
      <c r="K12" s="290">
        <f t="shared" si="4"/>
        <v>1000</v>
      </c>
      <c r="L12" s="30" t="s">
        <v>474</v>
      </c>
    </row>
    <row r="13" spans="2:12" x14ac:dyDescent="0.2">
      <c r="B13" s="112" t="s">
        <v>310</v>
      </c>
      <c r="C13" s="243">
        <v>0</v>
      </c>
      <c r="D13" s="244"/>
      <c r="E13" s="105">
        <f t="shared" si="1"/>
        <v>0</v>
      </c>
      <c r="F13" s="114"/>
      <c r="G13" s="107">
        <f t="shared" si="2"/>
        <v>0</v>
      </c>
      <c r="H13" s="292">
        <v>1</v>
      </c>
      <c r="I13" s="104">
        <f t="shared" si="3"/>
        <v>200</v>
      </c>
      <c r="J13" s="215"/>
      <c r="K13" s="290">
        <f t="shared" si="4"/>
        <v>200</v>
      </c>
    </row>
    <row r="14" spans="2:12" x14ac:dyDescent="0.2">
      <c r="B14" s="112" t="s">
        <v>103</v>
      </c>
      <c r="C14" s="243">
        <v>0</v>
      </c>
      <c r="D14" s="244"/>
      <c r="E14" s="105">
        <f t="shared" si="1"/>
        <v>0</v>
      </c>
      <c r="F14" s="114"/>
      <c r="G14" s="107">
        <f t="shared" si="2"/>
        <v>0</v>
      </c>
      <c r="H14" s="292">
        <v>4</v>
      </c>
      <c r="I14" s="104">
        <f t="shared" si="3"/>
        <v>800</v>
      </c>
      <c r="J14" s="215"/>
      <c r="K14" s="290">
        <f t="shared" si="4"/>
        <v>800</v>
      </c>
      <c r="L14" s="30" t="s">
        <v>474</v>
      </c>
    </row>
    <row r="15" spans="2:12" x14ac:dyDescent="0.2">
      <c r="B15" s="112" t="s">
        <v>100</v>
      </c>
      <c r="C15" s="243">
        <v>0</v>
      </c>
      <c r="D15" s="244"/>
      <c r="E15" s="105">
        <f t="shared" si="1"/>
        <v>0</v>
      </c>
      <c r="F15" s="114"/>
      <c r="G15" s="107">
        <f t="shared" si="2"/>
        <v>0</v>
      </c>
      <c r="H15" s="292">
        <v>1</v>
      </c>
      <c r="I15" s="104">
        <f t="shared" si="3"/>
        <v>200</v>
      </c>
      <c r="J15" s="215"/>
      <c r="K15" s="290">
        <f t="shared" si="4"/>
        <v>200</v>
      </c>
      <c r="L15" s="30" t="s">
        <v>474</v>
      </c>
    </row>
    <row r="16" spans="2:12" ht="13.5" thickBot="1" x14ac:dyDescent="0.25">
      <c r="B16" s="112" t="s">
        <v>104</v>
      </c>
      <c r="C16" s="243">
        <v>400</v>
      </c>
      <c r="D16" s="244">
        <v>0</v>
      </c>
      <c r="E16" s="105">
        <f t="shared" si="1"/>
        <v>400</v>
      </c>
      <c r="F16" s="114"/>
      <c r="G16" s="107">
        <f t="shared" si="2"/>
        <v>0</v>
      </c>
      <c r="H16" s="292">
        <v>0</v>
      </c>
      <c r="I16" s="109">
        <f>F16</f>
        <v>0</v>
      </c>
      <c r="J16" s="215"/>
      <c r="K16" s="290">
        <f t="shared" si="4"/>
        <v>400</v>
      </c>
      <c r="L16" s="30" t="s">
        <v>475</v>
      </c>
    </row>
    <row r="17" spans="2:11" ht="13.5" thickBot="1" x14ac:dyDescent="0.25">
      <c r="B17" s="115" t="s">
        <v>35</v>
      </c>
      <c r="C17" s="116">
        <f t="shared" ref="C17:H17" si="5">SUM(C7:C16)</f>
        <v>14200</v>
      </c>
      <c r="D17" s="117">
        <f t="shared" si="5"/>
        <v>4830</v>
      </c>
      <c r="E17" s="117">
        <f t="shared" si="5"/>
        <v>9370</v>
      </c>
      <c r="F17" s="116"/>
      <c r="G17" s="118">
        <f t="shared" si="5"/>
        <v>3063.36</v>
      </c>
      <c r="H17" s="119">
        <f t="shared" si="5"/>
        <v>32</v>
      </c>
      <c r="I17" s="120">
        <f t="shared" ref="I17" si="6">H17*200</f>
        <v>6400</v>
      </c>
      <c r="J17" s="120">
        <f>SUM(J7:J16)</f>
        <v>600</v>
      </c>
      <c r="K17" s="297">
        <f>SUM(K7:K16)</f>
        <v>16370</v>
      </c>
    </row>
    <row r="18" spans="2:11" x14ac:dyDescent="0.2">
      <c r="B18" s="122"/>
      <c r="C18" s="123"/>
      <c r="D18" s="124"/>
      <c r="E18" s="124"/>
      <c r="F18" s="123"/>
      <c r="G18" s="123"/>
      <c r="H18" s="125"/>
      <c r="I18" s="126"/>
      <c r="J18" s="126"/>
      <c r="K18" s="123"/>
    </row>
    <row r="19" spans="2:11" s="220" customFormat="1" x14ac:dyDescent="0.2">
      <c r="B19" s="131"/>
      <c r="C19" s="127"/>
      <c r="D19" s="128"/>
      <c r="E19" s="128"/>
      <c r="F19" s="127"/>
      <c r="G19" s="127"/>
      <c r="H19" s="129"/>
      <c r="I19" s="130"/>
      <c r="J19" s="130"/>
      <c r="K19" s="127"/>
    </row>
    <row r="20" spans="2:11" ht="13.5" thickBot="1" x14ac:dyDescent="0.25">
      <c r="B20" s="218"/>
      <c r="C20" s="219"/>
      <c r="D20" s="131"/>
      <c r="E20" s="128"/>
      <c r="F20" s="127"/>
      <c r="G20" s="127"/>
      <c r="H20" s="129"/>
      <c r="I20" s="130"/>
      <c r="J20" s="130"/>
      <c r="K20" s="127"/>
    </row>
    <row r="21" spans="2:11" ht="13.5" thickBot="1" x14ac:dyDescent="0.25">
      <c r="B21" s="132" t="s">
        <v>105</v>
      </c>
      <c r="C21" s="133" t="s">
        <v>466</v>
      </c>
      <c r="D21" s="134"/>
      <c r="E21" s="135"/>
      <c r="F21" s="121"/>
      <c r="G21" s="127"/>
      <c r="H21" s="129"/>
      <c r="I21" s="130"/>
      <c r="J21" s="130"/>
      <c r="K21" s="127"/>
    </row>
    <row r="22" spans="2:11" x14ac:dyDescent="0.2">
      <c r="B22" s="136" t="s">
        <v>106</v>
      </c>
      <c r="C22" s="137">
        <f>SUM(C7:C16)</f>
        <v>14200</v>
      </c>
      <c r="D22" s="138" t="s">
        <v>107</v>
      </c>
      <c r="E22" s="137">
        <f>SUM(E6:E16)</f>
        <v>9370</v>
      </c>
      <c r="F22" s="139"/>
    </row>
    <row r="23" spans="2:11" x14ac:dyDescent="0.2">
      <c r="B23" s="140" t="s">
        <v>108</v>
      </c>
      <c r="C23" s="141">
        <v>310</v>
      </c>
      <c r="D23" s="142" t="s">
        <v>107</v>
      </c>
      <c r="E23" s="141">
        <v>201.5</v>
      </c>
      <c r="F23" s="143"/>
    </row>
    <row r="24" spans="2:11" x14ac:dyDescent="0.2">
      <c r="B24" s="140" t="s">
        <v>467</v>
      </c>
      <c r="C24" s="141">
        <f>D17</f>
        <v>4830</v>
      </c>
      <c r="D24" s="142"/>
      <c r="E24" s="110"/>
      <c r="F24" s="143"/>
    </row>
    <row r="25" spans="2:11" x14ac:dyDescent="0.2">
      <c r="B25" s="140" t="s">
        <v>110</v>
      </c>
      <c r="C25" s="141">
        <f>I17+J17</f>
        <v>7000</v>
      </c>
      <c r="D25" s="142"/>
      <c r="E25" s="110"/>
      <c r="F25" s="143"/>
    </row>
    <row r="26" spans="2:11" x14ac:dyDescent="0.2">
      <c r="B26" s="221" t="s">
        <v>381</v>
      </c>
      <c r="C26" s="222">
        <f>D17</f>
        <v>4830</v>
      </c>
      <c r="D26" s="223"/>
      <c r="E26" s="224"/>
      <c r="F26" s="225"/>
    </row>
    <row r="27" spans="2:11" ht="13.5" thickBot="1" x14ac:dyDescent="0.25">
      <c r="B27" s="144" t="s">
        <v>111</v>
      </c>
      <c r="C27" s="145">
        <f>G17</f>
        <v>3063.36</v>
      </c>
      <c r="D27" s="146"/>
      <c r="E27" s="147"/>
      <c r="F27" s="148"/>
    </row>
    <row r="28" spans="2:11" ht="13.5" thickBot="1" x14ac:dyDescent="0.25">
      <c r="B28" s="144" t="s">
        <v>382</v>
      </c>
      <c r="C28" s="145">
        <f>E22+C25</f>
        <v>16370</v>
      </c>
      <c r="D28" s="146"/>
      <c r="E28" s="147"/>
      <c r="F28" s="148"/>
      <c r="I28" s="149"/>
      <c r="J28" s="149"/>
      <c r="K28" s="150"/>
    </row>
    <row r="29" spans="2:11" ht="16.5" customHeight="1" thickBot="1" x14ac:dyDescent="0.25">
      <c r="B29" s="144" t="s">
        <v>383</v>
      </c>
      <c r="C29" s="145">
        <f>C27</f>
        <v>3063.36</v>
      </c>
      <c r="D29" s="146"/>
      <c r="E29" s="147"/>
      <c r="F29" s="148"/>
    </row>
  </sheetData>
  <mergeCells count="2">
    <mergeCell ref="B4:K5"/>
    <mergeCell ref="F6:G6"/>
  </mergeCells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Q28"/>
  <sheetViews>
    <sheetView workbookViewId="0">
      <selection activeCell="I20" sqref="I20:P26"/>
    </sheetView>
  </sheetViews>
  <sheetFormatPr defaultRowHeight="12.75" x14ac:dyDescent="0.2"/>
  <cols>
    <col min="1" max="1" width="1.42578125" style="30" customWidth="1"/>
    <col min="2" max="2" width="18.7109375" style="30" customWidth="1"/>
    <col min="3" max="3" width="9.7109375" style="30" bestFit="1" customWidth="1"/>
    <col min="4" max="10" width="9.140625" style="30"/>
    <col min="11" max="11" width="12.28515625" style="30" customWidth="1"/>
    <col min="12" max="12" width="11.140625" style="30" customWidth="1"/>
    <col min="13" max="16384" width="9.140625" style="30"/>
  </cols>
  <sheetData>
    <row r="3" spans="2:17" ht="6" customHeight="1" thickBot="1" x14ac:dyDescent="0.25"/>
    <row r="4" spans="2:17" x14ac:dyDescent="0.2">
      <c r="B4" s="451" t="s">
        <v>564</v>
      </c>
      <c r="C4" s="452"/>
      <c r="D4" s="452"/>
      <c r="E4" s="452"/>
      <c r="F4" s="452"/>
      <c r="G4" s="452"/>
      <c r="H4" s="452"/>
      <c r="I4" s="452"/>
      <c r="J4" s="452"/>
      <c r="K4" s="453"/>
    </row>
    <row r="5" spans="2:17" ht="18" customHeight="1" thickBot="1" x14ac:dyDescent="0.25">
      <c r="B5" s="454"/>
      <c r="C5" s="455"/>
      <c r="D5" s="455"/>
      <c r="E5" s="455"/>
      <c r="F5" s="455"/>
      <c r="G5" s="455"/>
      <c r="H5" s="455"/>
      <c r="I5" s="455"/>
      <c r="J5" s="455"/>
      <c r="K5" s="456"/>
      <c r="L5" s="30" t="s">
        <v>569</v>
      </c>
    </row>
    <row r="6" spans="2:17" ht="66" customHeight="1" thickBot="1" x14ac:dyDescent="0.25">
      <c r="B6" s="99" t="s">
        <v>49</v>
      </c>
      <c r="C6" s="100" t="s">
        <v>91</v>
      </c>
      <c r="D6" s="101" t="s">
        <v>92</v>
      </c>
      <c r="E6" s="101" t="s">
        <v>93</v>
      </c>
      <c r="F6" s="457" t="s">
        <v>94</v>
      </c>
      <c r="G6" s="458"/>
      <c r="H6" s="100" t="s">
        <v>575</v>
      </c>
      <c r="I6" s="102" t="s">
        <v>95</v>
      </c>
      <c r="J6" s="214" t="s">
        <v>379</v>
      </c>
      <c r="K6" s="103" t="s">
        <v>578</v>
      </c>
      <c r="L6" s="321" t="s">
        <v>570</v>
      </c>
      <c r="M6" s="321" t="s">
        <v>571</v>
      </c>
      <c r="N6" s="321" t="s">
        <v>572</v>
      </c>
      <c r="O6" s="321" t="s">
        <v>573</v>
      </c>
      <c r="P6" s="150" t="s">
        <v>574</v>
      </c>
      <c r="Q6" s="59" t="s">
        <v>576</v>
      </c>
    </row>
    <row r="7" spans="2:17" x14ac:dyDescent="0.2">
      <c r="B7" s="240" t="s">
        <v>97</v>
      </c>
      <c r="C7" s="241">
        <v>6000</v>
      </c>
      <c r="D7" s="242">
        <f>0.35*C7</f>
        <v>2100</v>
      </c>
      <c r="E7" s="105">
        <f>C7-D7</f>
        <v>3900</v>
      </c>
      <c r="F7" s="106">
        <v>0.1021</v>
      </c>
      <c r="G7" s="107">
        <f>C7*F7</f>
        <v>612.6</v>
      </c>
      <c r="H7" s="291">
        <v>5</v>
      </c>
      <c r="I7" s="104">
        <f>H7*200</f>
        <v>1000</v>
      </c>
      <c r="J7" s="215">
        <v>200</v>
      </c>
      <c r="K7" s="251">
        <f>E7+I7+J7</f>
        <v>5100</v>
      </c>
      <c r="L7" s="30">
        <v>1</v>
      </c>
      <c r="M7" s="324">
        <v>1</v>
      </c>
      <c r="N7" s="30">
        <v>1</v>
      </c>
      <c r="O7" s="30">
        <v>1</v>
      </c>
      <c r="P7" s="30">
        <v>1</v>
      </c>
      <c r="Q7" s="322">
        <f>SUM(L7:P7)</f>
        <v>5</v>
      </c>
    </row>
    <row r="8" spans="2:17" x14ac:dyDescent="0.2">
      <c r="B8" s="112" t="s">
        <v>45</v>
      </c>
      <c r="C8" s="243">
        <v>4600</v>
      </c>
      <c r="D8" s="244">
        <f t="shared" ref="D8:D9" si="0">0.35*C8</f>
        <v>1610</v>
      </c>
      <c r="E8" s="105">
        <f t="shared" ref="E8:E16" si="1">C8-D8</f>
        <v>2990</v>
      </c>
      <c r="F8" s="111">
        <v>0.31419999999999998</v>
      </c>
      <c r="G8" s="107">
        <f t="shared" ref="G8:G16" si="2">C8*F8</f>
        <v>1445.32</v>
      </c>
      <c r="H8" s="292">
        <v>5</v>
      </c>
      <c r="I8" s="104">
        <f t="shared" ref="I8:I16" si="3">H8*200</f>
        <v>1000</v>
      </c>
      <c r="J8" s="215">
        <v>200</v>
      </c>
      <c r="K8" s="251">
        <f>E8+I8+J8</f>
        <v>4190</v>
      </c>
      <c r="L8" s="30">
        <v>1</v>
      </c>
      <c r="M8" s="30">
        <v>1</v>
      </c>
      <c r="N8" s="324">
        <v>1</v>
      </c>
      <c r="O8" s="30">
        <v>1</v>
      </c>
      <c r="P8" s="30">
        <v>1</v>
      </c>
      <c r="Q8" s="322">
        <f t="shared" ref="Q8:Q16" si="4">SUM(L8:P8)</f>
        <v>5</v>
      </c>
    </row>
    <row r="9" spans="2:17" x14ac:dyDescent="0.2">
      <c r="B9" s="112" t="s">
        <v>99</v>
      </c>
      <c r="C9" s="243">
        <v>3200</v>
      </c>
      <c r="D9" s="244">
        <f t="shared" si="0"/>
        <v>1120</v>
      </c>
      <c r="E9" s="105">
        <f t="shared" si="1"/>
        <v>2080</v>
      </c>
      <c r="F9" s="111">
        <v>0.31419999999999998</v>
      </c>
      <c r="G9" s="107">
        <f t="shared" si="2"/>
        <v>1005.4399999999999</v>
      </c>
      <c r="H9" s="292">
        <v>5</v>
      </c>
      <c r="I9" s="104">
        <f t="shared" si="3"/>
        <v>1000</v>
      </c>
      <c r="J9" s="215"/>
      <c r="K9" s="251">
        <f t="shared" ref="K9:K16" si="5">E9+I9+J9</f>
        <v>3080</v>
      </c>
      <c r="L9" s="30">
        <v>1</v>
      </c>
      <c r="M9" s="30">
        <v>1</v>
      </c>
      <c r="N9" s="30">
        <v>1</v>
      </c>
      <c r="O9" s="30">
        <v>1</v>
      </c>
      <c r="P9" s="30">
        <v>1</v>
      </c>
      <c r="Q9" s="322">
        <f t="shared" si="4"/>
        <v>5</v>
      </c>
    </row>
    <row r="10" spans="2:17" x14ac:dyDescent="0.2">
      <c r="B10" s="112" t="s">
        <v>465</v>
      </c>
      <c r="C10" s="243">
        <v>0</v>
      </c>
      <c r="D10" s="244"/>
      <c r="E10" s="105">
        <f t="shared" si="1"/>
        <v>0</v>
      </c>
      <c r="F10" s="111"/>
      <c r="G10" s="107">
        <f t="shared" si="2"/>
        <v>0</v>
      </c>
      <c r="H10" s="292">
        <v>5</v>
      </c>
      <c r="I10" s="104">
        <f t="shared" si="3"/>
        <v>1000</v>
      </c>
      <c r="J10" s="215"/>
      <c r="K10" s="367">
        <f t="shared" si="5"/>
        <v>1000</v>
      </c>
      <c r="L10" s="30">
        <v>1</v>
      </c>
      <c r="M10" s="30">
        <v>1</v>
      </c>
      <c r="N10" s="30">
        <v>1</v>
      </c>
      <c r="O10" s="30">
        <v>1</v>
      </c>
      <c r="P10" s="30">
        <v>1</v>
      </c>
      <c r="Q10" s="322">
        <f t="shared" si="4"/>
        <v>5</v>
      </c>
    </row>
    <row r="11" spans="2:17" x14ac:dyDescent="0.2">
      <c r="B11" s="112" t="s">
        <v>103</v>
      </c>
      <c r="C11" s="241">
        <v>0</v>
      </c>
      <c r="D11" s="242"/>
      <c r="E11" s="105">
        <f t="shared" si="1"/>
        <v>0</v>
      </c>
      <c r="F11" s="113"/>
      <c r="G11" s="107">
        <f t="shared" si="2"/>
        <v>0</v>
      </c>
      <c r="H11" s="292">
        <v>5</v>
      </c>
      <c r="I11" s="104">
        <f t="shared" si="3"/>
        <v>1000</v>
      </c>
      <c r="J11" s="215">
        <v>200</v>
      </c>
      <c r="K11" s="251">
        <f t="shared" si="5"/>
        <v>1200</v>
      </c>
      <c r="L11" s="30">
        <v>1</v>
      </c>
      <c r="M11" s="30">
        <v>1</v>
      </c>
      <c r="N11" s="30">
        <v>1</v>
      </c>
      <c r="O11" s="324">
        <v>1</v>
      </c>
      <c r="P11" s="30">
        <v>1</v>
      </c>
      <c r="Q11" s="322">
        <f t="shared" si="4"/>
        <v>5</v>
      </c>
    </row>
    <row r="12" spans="2:17" x14ac:dyDescent="0.2">
      <c r="B12" s="112" t="s">
        <v>102</v>
      </c>
      <c r="C12" s="243">
        <v>0</v>
      </c>
      <c r="D12" s="244"/>
      <c r="E12" s="105">
        <f t="shared" si="1"/>
        <v>0</v>
      </c>
      <c r="F12" s="114"/>
      <c r="G12" s="107">
        <f t="shared" si="2"/>
        <v>0</v>
      </c>
      <c r="H12" s="292">
        <v>4</v>
      </c>
      <c r="I12" s="104">
        <f t="shared" si="3"/>
        <v>800</v>
      </c>
      <c r="J12" s="215"/>
      <c r="K12" s="251">
        <f t="shared" si="5"/>
        <v>800</v>
      </c>
      <c r="L12" s="30">
        <v>1</v>
      </c>
      <c r="N12" s="30">
        <v>1</v>
      </c>
      <c r="O12" s="30">
        <v>1</v>
      </c>
      <c r="P12" s="30">
        <v>1</v>
      </c>
      <c r="Q12" s="322">
        <f t="shared" si="4"/>
        <v>4</v>
      </c>
    </row>
    <row r="13" spans="2:17" x14ac:dyDescent="0.2">
      <c r="B13" s="112" t="s">
        <v>40</v>
      </c>
      <c r="C13" s="243">
        <v>0</v>
      </c>
      <c r="D13" s="244"/>
      <c r="E13" s="105">
        <f t="shared" si="1"/>
        <v>0</v>
      </c>
      <c r="F13" s="114"/>
      <c r="G13" s="107">
        <f t="shared" si="2"/>
        <v>0</v>
      </c>
      <c r="H13" s="292">
        <v>4</v>
      </c>
      <c r="I13" s="104">
        <f t="shared" si="3"/>
        <v>800</v>
      </c>
      <c r="J13" s="215">
        <v>200</v>
      </c>
      <c r="K13" s="251">
        <f t="shared" si="5"/>
        <v>1000</v>
      </c>
      <c r="M13" s="30">
        <v>1</v>
      </c>
      <c r="N13" s="30">
        <v>1</v>
      </c>
      <c r="O13" s="30">
        <v>1</v>
      </c>
      <c r="P13" s="324">
        <v>1</v>
      </c>
      <c r="Q13" s="322">
        <f t="shared" si="4"/>
        <v>4</v>
      </c>
    </row>
    <row r="14" spans="2:17" x14ac:dyDescent="0.2">
      <c r="B14" s="112" t="s">
        <v>577</v>
      </c>
      <c r="C14" s="243">
        <v>0</v>
      </c>
      <c r="D14" s="244"/>
      <c r="E14" s="105">
        <f t="shared" si="1"/>
        <v>0</v>
      </c>
      <c r="F14" s="114"/>
      <c r="G14" s="107">
        <f t="shared" si="2"/>
        <v>0</v>
      </c>
      <c r="H14" s="292">
        <v>3</v>
      </c>
      <c r="I14" s="104">
        <f t="shared" si="3"/>
        <v>600</v>
      </c>
      <c r="J14" s="215"/>
      <c r="K14" s="367">
        <f t="shared" si="5"/>
        <v>600</v>
      </c>
      <c r="N14" s="30">
        <v>1</v>
      </c>
      <c r="O14" s="30">
        <v>1</v>
      </c>
      <c r="P14" s="30">
        <v>1</v>
      </c>
      <c r="Q14" s="322">
        <f t="shared" si="4"/>
        <v>3</v>
      </c>
    </row>
    <row r="15" spans="2:17" x14ac:dyDescent="0.2">
      <c r="B15" s="112" t="s">
        <v>101</v>
      </c>
      <c r="C15" s="243">
        <v>0</v>
      </c>
      <c r="D15" s="244"/>
      <c r="E15" s="105">
        <f t="shared" si="1"/>
        <v>0</v>
      </c>
      <c r="F15" s="114"/>
      <c r="G15" s="107">
        <f t="shared" si="2"/>
        <v>0</v>
      </c>
      <c r="H15" s="292">
        <v>1</v>
      </c>
      <c r="I15" s="104">
        <f t="shared" si="3"/>
        <v>200</v>
      </c>
      <c r="J15" s="215"/>
      <c r="K15" s="251">
        <f t="shared" si="5"/>
        <v>200</v>
      </c>
      <c r="L15" s="30">
        <v>1</v>
      </c>
      <c r="Q15" s="322">
        <f t="shared" si="4"/>
        <v>1</v>
      </c>
    </row>
    <row r="16" spans="2:17" ht="13.5" thickBot="1" x14ac:dyDescent="0.25">
      <c r="B16" s="112" t="s">
        <v>104</v>
      </c>
      <c r="C16" s="243">
        <v>800</v>
      </c>
      <c r="D16" s="244">
        <v>0</v>
      </c>
      <c r="E16" s="105">
        <f t="shared" si="1"/>
        <v>800</v>
      </c>
      <c r="F16" s="114"/>
      <c r="G16" s="107">
        <f t="shared" si="2"/>
        <v>0</v>
      </c>
      <c r="H16" s="292">
        <v>0</v>
      </c>
      <c r="I16" s="104">
        <f t="shared" si="3"/>
        <v>0</v>
      </c>
      <c r="J16" s="215"/>
      <c r="K16" s="290">
        <f t="shared" si="5"/>
        <v>800</v>
      </c>
      <c r="Q16" s="322">
        <f t="shared" si="4"/>
        <v>0</v>
      </c>
    </row>
    <row r="17" spans="2:17" ht="13.5" thickBot="1" x14ac:dyDescent="0.25">
      <c r="B17" s="115" t="s">
        <v>35</v>
      </c>
      <c r="C17" s="116">
        <f t="shared" ref="C17:H17" si="6">SUM(C7:C16)</f>
        <v>14600</v>
      </c>
      <c r="D17" s="117">
        <f t="shared" si="6"/>
        <v>4830</v>
      </c>
      <c r="E17" s="117">
        <f t="shared" si="6"/>
        <v>9770</v>
      </c>
      <c r="F17" s="116"/>
      <c r="G17" s="118">
        <f t="shared" si="6"/>
        <v>3063.36</v>
      </c>
      <c r="H17" s="119">
        <f t="shared" si="6"/>
        <v>37</v>
      </c>
      <c r="I17" s="326">
        <f t="shared" ref="I17" si="7">H17*200</f>
        <v>7400</v>
      </c>
      <c r="J17" s="326">
        <f>SUM(J7:J16)</f>
        <v>800</v>
      </c>
      <c r="K17" s="297">
        <f>SUM(K7:K16)</f>
        <v>17970</v>
      </c>
      <c r="L17" s="2">
        <f>SUM(L7:L16)</f>
        <v>7</v>
      </c>
      <c r="M17" s="2">
        <f t="shared" ref="M17:Q17" si="8">SUM(M7:M16)</f>
        <v>6</v>
      </c>
      <c r="N17" s="2">
        <f t="shared" si="8"/>
        <v>8</v>
      </c>
      <c r="O17" s="2">
        <f t="shared" si="8"/>
        <v>8</v>
      </c>
      <c r="P17" s="2">
        <f t="shared" si="8"/>
        <v>8</v>
      </c>
      <c r="Q17" s="323">
        <f t="shared" si="8"/>
        <v>37</v>
      </c>
    </row>
    <row r="18" spans="2:17" x14ac:dyDescent="0.2">
      <c r="B18" s="122"/>
      <c r="C18" s="123"/>
      <c r="D18" s="124"/>
      <c r="E18" s="124"/>
      <c r="F18" s="123"/>
      <c r="G18" s="123"/>
      <c r="H18" s="125"/>
      <c r="I18" s="126"/>
      <c r="J18" s="126"/>
      <c r="K18" s="123"/>
    </row>
    <row r="19" spans="2:17" s="220" customFormat="1" x14ac:dyDescent="0.2">
      <c r="B19" s="131"/>
      <c r="C19" s="127"/>
      <c r="D19" s="128"/>
      <c r="E19" s="128"/>
      <c r="F19" s="127"/>
      <c r="G19" s="127"/>
      <c r="H19" s="129"/>
      <c r="I19" s="130"/>
      <c r="J19" s="130"/>
      <c r="K19" s="127"/>
    </row>
    <row r="20" spans="2:17" ht="13.5" thickBot="1" x14ac:dyDescent="0.25">
      <c r="B20" s="218"/>
      <c r="C20" s="219"/>
      <c r="D20" s="131"/>
      <c r="E20" s="128"/>
      <c r="F20" s="127"/>
      <c r="G20" s="127"/>
      <c r="H20" s="129"/>
      <c r="I20" s="130" t="s">
        <v>37</v>
      </c>
      <c r="J20" s="130"/>
      <c r="K20" s="127">
        <f>E17</f>
        <v>9770</v>
      </c>
      <c r="L20" s="366"/>
      <c r="M20" s="30" t="s">
        <v>602</v>
      </c>
      <c r="O20" s="2">
        <f>K7+K8+K9+K11+K12+K13+K15+400</f>
        <v>15970</v>
      </c>
    </row>
    <row r="21" spans="2:17" ht="13.5" thickBot="1" x14ac:dyDescent="0.25">
      <c r="B21" s="132" t="s">
        <v>105</v>
      </c>
      <c r="C21" s="133" t="s">
        <v>565</v>
      </c>
      <c r="D21" s="134"/>
      <c r="E21" s="135"/>
      <c r="F21" s="121"/>
      <c r="G21" s="127"/>
      <c r="H21" s="129"/>
      <c r="I21" s="130" t="s">
        <v>9</v>
      </c>
      <c r="J21" s="130"/>
      <c r="K21" s="127">
        <f>I17+J17</f>
        <v>8200</v>
      </c>
      <c r="O21" s="30" t="s">
        <v>603</v>
      </c>
      <c r="P21" s="2">
        <f>E7+E8+E9+400</f>
        <v>9370</v>
      </c>
    </row>
    <row r="22" spans="2:17" x14ac:dyDescent="0.2">
      <c r="B22" s="136" t="s">
        <v>106</v>
      </c>
      <c r="C22" s="137">
        <f>SUM(C7:C16)</f>
        <v>14600</v>
      </c>
      <c r="D22" s="138" t="s">
        <v>107</v>
      </c>
      <c r="E22" s="137">
        <f>SUM(E6:E16)</f>
        <v>9770</v>
      </c>
      <c r="F22" s="139"/>
      <c r="I22" s="30" t="s">
        <v>580</v>
      </c>
      <c r="K22" s="2">
        <f>D17+G17</f>
        <v>7893.3600000000006</v>
      </c>
      <c r="O22" s="30" t="s">
        <v>604</v>
      </c>
      <c r="P22" s="2">
        <f>O20-P21</f>
        <v>6600</v>
      </c>
    </row>
    <row r="23" spans="2:17" x14ac:dyDescent="0.2">
      <c r="B23" s="140" t="s">
        <v>108</v>
      </c>
      <c r="C23" s="141">
        <v>310</v>
      </c>
      <c r="D23" s="142" t="s">
        <v>107</v>
      </c>
      <c r="E23" s="141">
        <v>201.5</v>
      </c>
      <c r="F23" s="143"/>
      <c r="I23" s="30">
        <f>(80*310)+3077</f>
        <v>27877</v>
      </c>
      <c r="J23" s="30">
        <f>I23*0.35</f>
        <v>9756.9499999999989</v>
      </c>
      <c r="K23" s="30">
        <f>F7*I23</f>
        <v>2846.2417</v>
      </c>
      <c r="M23" s="368"/>
      <c r="N23" s="30" t="s">
        <v>612</v>
      </c>
      <c r="P23" s="2">
        <f>K10+K14</f>
        <v>1600</v>
      </c>
    </row>
    <row r="24" spans="2:17" x14ac:dyDescent="0.2">
      <c r="B24" s="140" t="s">
        <v>467</v>
      </c>
      <c r="C24" s="141">
        <f>D17</f>
        <v>4830</v>
      </c>
      <c r="D24" s="142"/>
      <c r="E24" s="110"/>
      <c r="F24" s="143"/>
    </row>
    <row r="25" spans="2:17" x14ac:dyDescent="0.2">
      <c r="B25" s="140" t="s">
        <v>110</v>
      </c>
      <c r="C25" s="325">
        <f>I17+J17</f>
        <v>8200</v>
      </c>
      <c r="D25" s="142"/>
      <c r="E25" s="110"/>
      <c r="F25" s="143"/>
      <c r="I25" s="30">
        <f>I23-J23</f>
        <v>18120.050000000003</v>
      </c>
      <c r="K25" s="2">
        <f>K22+J23+K23</f>
        <v>20496.551699999996</v>
      </c>
    </row>
    <row r="26" spans="2:17" ht="13.5" thickBot="1" x14ac:dyDescent="0.25">
      <c r="B26" s="144" t="s">
        <v>111</v>
      </c>
      <c r="C26" s="145">
        <f>G17</f>
        <v>3063.36</v>
      </c>
      <c r="D26" s="146"/>
      <c r="E26" s="147"/>
      <c r="F26" s="148"/>
      <c r="I26" s="2">
        <f>I25+Bokföring!X106+600</f>
        <v>24436.530000000002</v>
      </c>
    </row>
    <row r="27" spans="2:17" ht="13.5" thickBot="1" x14ac:dyDescent="0.25">
      <c r="B27" s="144" t="s">
        <v>382</v>
      </c>
      <c r="C27" s="145">
        <f>E22+C25</f>
        <v>17970</v>
      </c>
      <c r="D27" s="146"/>
      <c r="E27" s="147"/>
      <c r="F27" s="148"/>
      <c r="I27" s="149"/>
      <c r="J27" s="149"/>
      <c r="K27" s="150"/>
    </row>
    <row r="28" spans="2:17" ht="16.5" customHeight="1" thickBot="1" x14ac:dyDescent="0.25">
      <c r="B28" s="144" t="s">
        <v>579</v>
      </c>
      <c r="C28" s="145">
        <f>C24+C26</f>
        <v>7893.3600000000006</v>
      </c>
      <c r="D28" s="146"/>
      <c r="E28" s="147"/>
      <c r="F28" s="148"/>
    </row>
  </sheetData>
  <mergeCells count="2">
    <mergeCell ref="B4:K5"/>
    <mergeCell ref="F6:G6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P30"/>
  <sheetViews>
    <sheetView workbookViewId="0">
      <selection activeCell="I19" sqref="I19:P20"/>
    </sheetView>
  </sheetViews>
  <sheetFormatPr defaultRowHeight="12.75" x14ac:dyDescent="0.2"/>
  <cols>
    <col min="1" max="1" width="1.42578125" style="30" customWidth="1"/>
    <col min="2" max="2" width="18.7109375" style="30" customWidth="1"/>
    <col min="3" max="3" width="9.7109375" style="30" bestFit="1" customWidth="1"/>
    <col min="4" max="10" width="9.140625" style="30"/>
    <col min="11" max="11" width="12.28515625" style="30" customWidth="1"/>
    <col min="12" max="12" width="11.140625" style="30" customWidth="1"/>
    <col min="13" max="13" width="10.85546875" style="30" customWidth="1"/>
    <col min="14" max="16384" width="9.140625" style="30"/>
  </cols>
  <sheetData>
    <row r="2" spans="2:16" x14ac:dyDescent="0.2">
      <c r="I2" s="403">
        <v>200</v>
      </c>
    </row>
    <row r="3" spans="2:16" ht="6" customHeight="1" thickBot="1" x14ac:dyDescent="0.25"/>
    <row r="4" spans="2:16" x14ac:dyDescent="0.2">
      <c r="B4" s="451" t="s">
        <v>663</v>
      </c>
      <c r="C4" s="452"/>
      <c r="D4" s="452"/>
      <c r="E4" s="452"/>
      <c r="F4" s="452"/>
      <c r="G4" s="452"/>
      <c r="H4" s="452"/>
      <c r="I4" s="452"/>
      <c r="J4" s="452"/>
      <c r="K4" s="453"/>
    </row>
    <row r="5" spans="2:16" ht="18" customHeight="1" thickBot="1" x14ac:dyDescent="0.25">
      <c r="B5" s="454"/>
      <c r="C5" s="455"/>
      <c r="D5" s="455"/>
      <c r="E5" s="455"/>
      <c r="F5" s="455"/>
      <c r="G5" s="455"/>
      <c r="H5" s="455"/>
      <c r="I5" s="455"/>
      <c r="J5" s="455"/>
      <c r="K5" s="456"/>
      <c r="L5" s="30" t="s">
        <v>569</v>
      </c>
    </row>
    <row r="6" spans="2:16" ht="66" customHeight="1" thickBot="1" x14ac:dyDescent="0.25">
      <c r="B6" s="99" t="s">
        <v>49</v>
      </c>
      <c r="C6" s="100" t="s">
        <v>91</v>
      </c>
      <c r="D6" s="101" t="s">
        <v>92</v>
      </c>
      <c r="E6" s="101" t="s">
        <v>93</v>
      </c>
      <c r="F6" s="457" t="s">
        <v>94</v>
      </c>
      <c r="G6" s="458"/>
      <c r="H6" s="100" t="s">
        <v>575</v>
      </c>
      <c r="I6" s="102" t="s">
        <v>95</v>
      </c>
      <c r="J6" s="214" t="s">
        <v>379</v>
      </c>
      <c r="K6" s="103" t="s">
        <v>578</v>
      </c>
      <c r="L6" s="400" t="s">
        <v>570</v>
      </c>
      <c r="M6" s="400" t="s">
        <v>571</v>
      </c>
      <c r="N6" s="401" t="s">
        <v>573</v>
      </c>
      <c r="O6" s="59" t="s">
        <v>574</v>
      </c>
      <c r="P6" s="59" t="s">
        <v>576</v>
      </c>
    </row>
    <row r="7" spans="2:16" x14ac:dyDescent="0.2">
      <c r="B7" s="240" t="s">
        <v>97</v>
      </c>
      <c r="C7" s="241">
        <v>6000</v>
      </c>
      <c r="D7" s="242">
        <f>0.35*C7</f>
        <v>2100</v>
      </c>
      <c r="E7" s="105">
        <f>C7-D7</f>
        <v>3900</v>
      </c>
      <c r="F7" s="106">
        <v>0.1021</v>
      </c>
      <c r="G7" s="107">
        <f>C7*F7</f>
        <v>612.6</v>
      </c>
      <c r="H7" s="291">
        <f>P7</f>
        <v>4</v>
      </c>
      <c r="I7" s="104">
        <f>H7*$I$2</f>
        <v>800</v>
      </c>
      <c r="J7" s="215">
        <v>200</v>
      </c>
      <c r="K7" s="251">
        <f>E7+I7+J7</f>
        <v>4900</v>
      </c>
      <c r="L7" s="366">
        <v>1</v>
      </c>
      <c r="M7" s="366">
        <v>1</v>
      </c>
      <c r="N7" s="399">
        <v>1</v>
      </c>
      <c r="O7" s="390">
        <v>1</v>
      </c>
      <c r="P7" s="322">
        <f t="shared" ref="P7:P16" si="0">SUM(L7:O7)</f>
        <v>4</v>
      </c>
    </row>
    <row r="8" spans="2:16" x14ac:dyDescent="0.2">
      <c r="B8" s="112" t="s">
        <v>45</v>
      </c>
      <c r="C8" s="243">
        <v>4600</v>
      </c>
      <c r="D8" s="244">
        <f t="shared" ref="D8:D9" si="1">0.35*C8</f>
        <v>1610</v>
      </c>
      <c r="E8" s="105">
        <f t="shared" ref="E8:E16" si="2">C8-D8</f>
        <v>2990</v>
      </c>
      <c r="F8" s="111">
        <v>0.31419999999999998</v>
      </c>
      <c r="G8" s="107">
        <f t="shared" ref="G8:G16" si="3">C8*F8</f>
        <v>1445.32</v>
      </c>
      <c r="H8" s="291">
        <f t="shared" ref="H8:H15" si="4">P8</f>
        <v>4</v>
      </c>
      <c r="I8" s="104">
        <f t="shared" ref="I8:I16" si="5">H8*$I$2</f>
        <v>800</v>
      </c>
      <c r="J8" s="215">
        <v>200</v>
      </c>
      <c r="K8" s="251">
        <f>E8+I8+J8</f>
        <v>3990</v>
      </c>
      <c r="L8" s="366">
        <v>1</v>
      </c>
      <c r="M8" s="399">
        <v>1</v>
      </c>
      <c r="N8" s="366">
        <v>1</v>
      </c>
      <c r="O8" s="390">
        <v>1</v>
      </c>
      <c r="P8" s="322">
        <f t="shared" si="0"/>
        <v>4</v>
      </c>
    </row>
    <row r="9" spans="2:16" x14ac:dyDescent="0.2">
      <c r="B9" s="112" t="s">
        <v>514</v>
      </c>
      <c r="C9" s="243">
        <v>3200</v>
      </c>
      <c r="D9" s="244">
        <f t="shared" si="1"/>
        <v>1120</v>
      </c>
      <c r="E9" s="105">
        <f t="shared" si="2"/>
        <v>2080</v>
      </c>
      <c r="F9" s="111">
        <v>0.31419999999999998</v>
      </c>
      <c r="G9" s="107">
        <f t="shared" si="3"/>
        <v>1005.4399999999999</v>
      </c>
      <c r="H9" s="291">
        <f t="shared" si="4"/>
        <v>4</v>
      </c>
      <c r="I9" s="104">
        <f t="shared" si="5"/>
        <v>800</v>
      </c>
      <c r="J9" s="215"/>
      <c r="K9" s="251">
        <f t="shared" ref="K9:K16" si="6">E9+I9+J9</f>
        <v>2880</v>
      </c>
      <c r="L9" s="366">
        <v>1</v>
      </c>
      <c r="M9" s="366">
        <v>1</v>
      </c>
      <c r="N9" s="366">
        <v>1</v>
      </c>
      <c r="O9" s="390">
        <v>1</v>
      </c>
      <c r="P9" s="322">
        <f t="shared" si="0"/>
        <v>4</v>
      </c>
    </row>
    <row r="10" spans="2:16" x14ac:dyDescent="0.2">
      <c r="B10" s="112" t="s">
        <v>465</v>
      </c>
      <c r="C10" s="243">
        <v>0</v>
      </c>
      <c r="D10" s="244"/>
      <c r="E10" s="105">
        <f t="shared" si="2"/>
        <v>0</v>
      </c>
      <c r="F10" s="111"/>
      <c r="G10" s="107">
        <f t="shared" si="3"/>
        <v>0</v>
      </c>
      <c r="H10" s="291">
        <f t="shared" si="4"/>
        <v>4</v>
      </c>
      <c r="I10" s="104">
        <f t="shared" si="5"/>
        <v>800</v>
      </c>
      <c r="J10" s="215"/>
      <c r="K10" s="367">
        <f t="shared" si="6"/>
        <v>800</v>
      </c>
      <c r="L10" s="366">
        <v>1</v>
      </c>
      <c r="M10" s="366">
        <v>1</v>
      </c>
      <c r="N10" s="366">
        <v>1</v>
      </c>
      <c r="O10" s="390">
        <v>1</v>
      </c>
      <c r="P10" s="322">
        <f t="shared" si="0"/>
        <v>4</v>
      </c>
    </row>
    <row r="11" spans="2:16" x14ac:dyDescent="0.2">
      <c r="B11" s="112" t="s">
        <v>103</v>
      </c>
      <c r="C11" s="241">
        <v>0</v>
      </c>
      <c r="D11" s="242"/>
      <c r="E11" s="105">
        <f t="shared" si="2"/>
        <v>0</v>
      </c>
      <c r="F11" s="113"/>
      <c r="G11" s="107">
        <f t="shared" si="3"/>
        <v>0</v>
      </c>
      <c r="H11" s="291">
        <f t="shared" si="4"/>
        <v>4</v>
      </c>
      <c r="I11" s="104">
        <f t="shared" si="5"/>
        <v>800</v>
      </c>
      <c r="J11" s="215"/>
      <c r="K11" s="251">
        <f t="shared" si="6"/>
        <v>800</v>
      </c>
      <c r="L11" s="366">
        <v>1</v>
      </c>
      <c r="M11" s="366">
        <v>1</v>
      </c>
      <c r="N11" s="366">
        <v>1</v>
      </c>
      <c r="O11" s="368">
        <v>1</v>
      </c>
      <c r="P11" s="322">
        <f t="shared" si="0"/>
        <v>4</v>
      </c>
    </row>
    <row r="12" spans="2:16" x14ac:dyDescent="0.2">
      <c r="B12" s="112" t="s">
        <v>191</v>
      </c>
      <c r="C12" s="243">
        <v>0</v>
      </c>
      <c r="D12" s="244"/>
      <c r="E12" s="105">
        <f t="shared" si="2"/>
        <v>0</v>
      </c>
      <c r="F12" s="114"/>
      <c r="G12" s="107">
        <f t="shared" si="3"/>
        <v>0</v>
      </c>
      <c r="H12" s="291">
        <f t="shared" si="4"/>
        <v>4</v>
      </c>
      <c r="I12" s="104">
        <f t="shared" si="5"/>
        <v>800</v>
      </c>
      <c r="J12" s="215"/>
      <c r="K12" s="251">
        <f t="shared" si="6"/>
        <v>800</v>
      </c>
      <c r="L12" s="366">
        <v>1</v>
      </c>
      <c r="M12" s="366">
        <v>1</v>
      </c>
      <c r="N12" s="366">
        <v>1</v>
      </c>
      <c r="O12" s="390">
        <v>1</v>
      </c>
      <c r="P12" s="322">
        <f t="shared" si="0"/>
        <v>4</v>
      </c>
    </row>
    <row r="13" spans="2:16" x14ac:dyDescent="0.2">
      <c r="B13" s="112" t="s">
        <v>40</v>
      </c>
      <c r="C13" s="243">
        <v>0</v>
      </c>
      <c r="D13" s="244"/>
      <c r="E13" s="105">
        <f t="shared" si="2"/>
        <v>0</v>
      </c>
      <c r="F13" s="114"/>
      <c r="G13" s="107">
        <f t="shared" si="3"/>
        <v>0</v>
      </c>
      <c r="H13" s="291">
        <f t="shared" si="4"/>
        <v>1</v>
      </c>
      <c r="I13" s="104">
        <f t="shared" si="5"/>
        <v>200</v>
      </c>
      <c r="J13" s="215"/>
      <c r="K13" s="251">
        <f t="shared" si="6"/>
        <v>200</v>
      </c>
      <c r="L13" s="366"/>
      <c r="M13" s="402"/>
      <c r="N13" s="402"/>
      <c r="O13" s="390">
        <v>1</v>
      </c>
      <c r="P13" s="322">
        <f t="shared" si="0"/>
        <v>1</v>
      </c>
    </row>
    <row r="14" spans="2:16" x14ac:dyDescent="0.2">
      <c r="B14" s="112" t="s">
        <v>665</v>
      </c>
      <c r="C14" s="243">
        <v>0</v>
      </c>
      <c r="D14" s="244"/>
      <c r="E14" s="105">
        <f t="shared" si="2"/>
        <v>0</v>
      </c>
      <c r="F14" s="114"/>
      <c r="G14" s="107">
        <f t="shared" si="3"/>
        <v>0</v>
      </c>
      <c r="H14" s="291">
        <f t="shared" si="4"/>
        <v>2</v>
      </c>
      <c r="I14" s="104">
        <f t="shared" si="5"/>
        <v>400</v>
      </c>
      <c r="J14" s="215"/>
      <c r="K14" s="367">
        <f t="shared" si="6"/>
        <v>400</v>
      </c>
      <c r="L14" s="366"/>
      <c r="M14" s="366">
        <v>1</v>
      </c>
      <c r="N14" s="402"/>
      <c r="O14" s="390">
        <v>1</v>
      </c>
      <c r="P14" s="322">
        <f t="shared" si="0"/>
        <v>2</v>
      </c>
    </row>
    <row r="15" spans="2:16" x14ac:dyDescent="0.2">
      <c r="B15" s="112" t="s">
        <v>664</v>
      </c>
      <c r="C15" s="243">
        <v>0</v>
      </c>
      <c r="D15" s="244"/>
      <c r="E15" s="105">
        <f t="shared" si="2"/>
        <v>0</v>
      </c>
      <c r="F15" s="114"/>
      <c r="G15" s="107">
        <f t="shared" si="3"/>
        <v>0</v>
      </c>
      <c r="H15" s="291">
        <f t="shared" si="4"/>
        <v>1</v>
      </c>
      <c r="I15" s="104">
        <f t="shared" si="5"/>
        <v>200</v>
      </c>
      <c r="J15" s="215"/>
      <c r="K15" s="251">
        <f t="shared" si="6"/>
        <v>200</v>
      </c>
      <c r="L15" s="366">
        <v>1</v>
      </c>
      <c r="M15" s="366"/>
      <c r="N15" s="402"/>
      <c r="P15" s="322">
        <f t="shared" si="0"/>
        <v>1</v>
      </c>
    </row>
    <row r="16" spans="2:16" ht="13.5" thickBot="1" x14ac:dyDescent="0.25">
      <c r="B16" s="112" t="s">
        <v>104</v>
      </c>
      <c r="C16" s="243">
        <v>800</v>
      </c>
      <c r="D16" s="244">
        <v>0</v>
      </c>
      <c r="E16" s="105">
        <f t="shared" si="2"/>
        <v>800</v>
      </c>
      <c r="F16" s="114"/>
      <c r="G16" s="107">
        <f t="shared" si="3"/>
        <v>0</v>
      </c>
      <c r="H16" s="292">
        <v>0</v>
      </c>
      <c r="I16" s="104">
        <f t="shared" si="5"/>
        <v>0</v>
      </c>
      <c r="J16" s="215"/>
      <c r="K16" s="290">
        <f t="shared" si="6"/>
        <v>800</v>
      </c>
      <c r="L16" s="366"/>
      <c r="M16" s="366"/>
      <c r="N16" s="402"/>
      <c r="P16" s="322">
        <f t="shared" si="0"/>
        <v>0</v>
      </c>
    </row>
    <row r="17" spans="2:16" ht="13.5" thickBot="1" x14ac:dyDescent="0.25">
      <c r="B17" s="115" t="s">
        <v>35</v>
      </c>
      <c r="C17" s="116">
        <f t="shared" ref="C17:H17" si="7">SUM(C7:C16)</f>
        <v>14600</v>
      </c>
      <c r="D17" s="117">
        <f t="shared" si="7"/>
        <v>4830</v>
      </c>
      <c r="E17" s="117">
        <f t="shared" si="7"/>
        <v>9770</v>
      </c>
      <c r="F17" s="116"/>
      <c r="G17" s="118">
        <f t="shared" si="7"/>
        <v>3063.36</v>
      </c>
      <c r="H17" s="119">
        <f t="shared" si="7"/>
        <v>28</v>
      </c>
      <c r="I17" s="326">
        <f t="shared" ref="I17" si="8">H17*200</f>
        <v>5600</v>
      </c>
      <c r="J17" s="326">
        <f>SUM(J7:J16)</f>
        <v>400</v>
      </c>
      <c r="K17" s="297">
        <f>SUM(K7:K16)</f>
        <v>15770</v>
      </c>
      <c r="L17" s="391">
        <f>SUM(L7:L16)</f>
        <v>7</v>
      </c>
      <c r="M17" s="391">
        <f t="shared" ref="M17" si="9">SUM(M7:M16)</f>
        <v>7</v>
      </c>
      <c r="N17" s="2">
        <f>SUM(N7:N16)</f>
        <v>6</v>
      </c>
      <c r="O17" s="2">
        <f>SUM(O7:O16)</f>
        <v>8</v>
      </c>
      <c r="P17" s="323">
        <f>SUM(P7:P16)</f>
        <v>28</v>
      </c>
    </row>
    <row r="18" spans="2:16" x14ac:dyDescent="0.2">
      <c r="B18" s="122"/>
      <c r="C18" s="123"/>
      <c r="D18" s="124"/>
      <c r="E18" s="124"/>
      <c r="F18" s="123"/>
      <c r="G18" s="123"/>
      <c r="H18" s="125"/>
      <c r="I18" s="126"/>
      <c r="J18" s="126"/>
      <c r="K18" s="123"/>
    </row>
    <row r="19" spans="2:16" s="220" customFormat="1" x14ac:dyDescent="0.2">
      <c r="B19" s="131"/>
      <c r="C19" s="127"/>
      <c r="D19" s="128"/>
      <c r="E19" s="128"/>
      <c r="F19" s="127"/>
      <c r="G19" s="127"/>
      <c r="H19" s="129"/>
      <c r="I19" s="130"/>
      <c r="J19" s="130"/>
      <c r="K19" s="127"/>
    </row>
    <row r="20" spans="2:16" ht="13.5" thickBot="1" x14ac:dyDescent="0.25">
      <c r="B20" s="218"/>
      <c r="C20" s="219"/>
      <c r="D20" s="131"/>
      <c r="E20" s="128"/>
      <c r="F20" s="127"/>
      <c r="G20" s="127"/>
      <c r="H20" s="129"/>
      <c r="I20" s="130" t="s">
        <v>37</v>
      </c>
      <c r="J20" s="130"/>
      <c r="K20" s="127">
        <f>E17</f>
        <v>9770</v>
      </c>
      <c r="L20" s="366"/>
      <c r="M20" s="30" t="s">
        <v>602</v>
      </c>
      <c r="O20" s="2">
        <f>K7+K8+K9+K11+K12+K13+K15+400</f>
        <v>14170</v>
      </c>
    </row>
    <row r="21" spans="2:16" ht="13.5" thickBot="1" x14ac:dyDescent="0.25">
      <c r="B21" s="132" t="s">
        <v>105</v>
      </c>
      <c r="C21" s="133" t="s">
        <v>565</v>
      </c>
      <c r="D21" s="134"/>
      <c r="E21" s="135"/>
      <c r="F21" s="121"/>
      <c r="G21" s="127"/>
      <c r="H21" s="129"/>
      <c r="I21" s="130" t="s">
        <v>9</v>
      </c>
      <c r="J21" s="130"/>
      <c r="K21" s="127">
        <f>I17+J17</f>
        <v>6000</v>
      </c>
      <c r="O21" s="30" t="s">
        <v>603</v>
      </c>
      <c r="P21" s="2">
        <f>E7+E8+E9+400</f>
        <v>9370</v>
      </c>
    </row>
    <row r="22" spans="2:16" x14ac:dyDescent="0.2">
      <c r="B22" s="136" t="s">
        <v>106</v>
      </c>
      <c r="C22" s="137">
        <f>SUM(C7:C16)</f>
        <v>14600</v>
      </c>
      <c r="D22" s="138" t="s">
        <v>107</v>
      </c>
      <c r="E22" s="137">
        <f>SUM(E6:E16)</f>
        <v>9770</v>
      </c>
      <c r="F22" s="139"/>
      <c r="I22" s="30" t="s">
        <v>580</v>
      </c>
      <c r="K22" s="2">
        <f>D17+G17</f>
        <v>7893.3600000000006</v>
      </c>
      <c r="O22" s="30" t="s">
        <v>604</v>
      </c>
      <c r="P22" s="2">
        <f>O20-P21</f>
        <v>4800</v>
      </c>
    </row>
    <row r="23" spans="2:16" x14ac:dyDescent="0.2">
      <c r="B23" s="140" t="s">
        <v>108</v>
      </c>
      <c r="C23" s="141">
        <v>310</v>
      </c>
      <c r="D23" s="142" t="s">
        <v>107</v>
      </c>
      <c r="E23" s="141">
        <v>201.5</v>
      </c>
      <c r="F23" s="143"/>
      <c r="I23" s="30">
        <f>(80*310)+3077</f>
        <v>27877</v>
      </c>
      <c r="J23" s="30">
        <f>I23*0.35</f>
        <v>9756.9499999999989</v>
      </c>
      <c r="K23" s="30">
        <f>F7*I23</f>
        <v>2846.2417</v>
      </c>
      <c r="M23" s="368"/>
      <c r="N23" s="30" t="s">
        <v>612</v>
      </c>
      <c r="P23" s="2">
        <f>K10+K14</f>
        <v>1200</v>
      </c>
    </row>
    <row r="24" spans="2:16" x14ac:dyDescent="0.2">
      <c r="B24" s="140" t="s">
        <v>467</v>
      </c>
      <c r="C24" s="141">
        <f>D17</f>
        <v>4830</v>
      </c>
      <c r="D24" s="142"/>
      <c r="E24" s="110"/>
      <c r="F24" s="143"/>
    </row>
    <row r="25" spans="2:16" x14ac:dyDescent="0.2">
      <c r="B25" s="140" t="s">
        <v>110</v>
      </c>
      <c r="C25" s="325">
        <f>I17+J17</f>
        <v>6000</v>
      </c>
      <c r="D25" s="142"/>
      <c r="E25" s="110"/>
      <c r="F25" s="143"/>
      <c r="I25" s="30">
        <f>I23-J23</f>
        <v>18120.050000000003</v>
      </c>
      <c r="K25" s="2">
        <f>K22+J23+K23</f>
        <v>20496.551699999996</v>
      </c>
    </row>
    <row r="26" spans="2:16" ht="13.5" thickBot="1" x14ac:dyDescent="0.25">
      <c r="B26" s="144" t="s">
        <v>111</v>
      </c>
      <c r="C26" s="145">
        <f>G17</f>
        <v>3063.36</v>
      </c>
      <c r="D26" s="146"/>
      <c r="E26" s="147"/>
      <c r="F26" s="148"/>
      <c r="I26" s="2">
        <f>I25+Bokföring!X106+600</f>
        <v>24436.530000000002</v>
      </c>
    </row>
    <row r="27" spans="2:16" ht="13.5" thickBot="1" x14ac:dyDescent="0.25">
      <c r="B27" s="144" t="s">
        <v>382</v>
      </c>
      <c r="C27" s="145">
        <f>E22+C25</f>
        <v>15770</v>
      </c>
      <c r="D27" s="146"/>
      <c r="E27" s="147"/>
      <c r="F27" s="148"/>
      <c r="I27" s="149"/>
      <c r="J27" s="149"/>
      <c r="K27" s="150"/>
      <c r="M27" s="30">
        <v>30</v>
      </c>
      <c r="N27" s="30">
        <v>37</v>
      </c>
    </row>
    <row r="28" spans="2:16" ht="16.5" customHeight="1" thickBot="1" x14ac:dyDescent="0.25">
      <c r="B28" s="144" t="s">
        <v>579</v>
      </c>
      <c r="C28" s="145">
        <f>C24+C26</f>
        <v>7893.3600000000006</v>
      </c>
      <c r="D28" s="146"/>
      <c r="E28" s="147"/>
      <c r="F28" s="148"/>
      <c r="K28" s="66"/>
      <c r="L28" s="66"/>
      <c r="M28" s="66" t="s">
        <v>711</v>
      </c>
      <c r="N28" s="66" t="s">
        <v>710</v>
      </c>
      <c r="O28" s="66"/>
    </row>
    <row r="29" spans="2:16" x14ac:dyDescent="0.2">
      <c r="K29" s="66" t="s">
        <v>708</v>
      </c>
      <c r="L29" s="66"/>
      <c r="M29" s="66">
        <f>M27*50</f>
        <v>1500</v>
      </c>
      <c r="N29" s="66">
        <f>N27*50</f>
        <v>1850</v>
      </c>
      <c r="O29" s="66"/>
    </row>
    <row r="30" spans="2:16" x14ac:dyDescent="0.2">
      <c r="K30" s="66" t="s">
        <v>709</v>
      </c>
      <c r="L30" s="66"/>
      <c r="M30" s="66">
        <f>M27*100</f>
        <v>3000</v>
      </c>
      <c r="N30" s="66">
        <f>N27*100</f>
        <v>3700</v>
      </c>
      <c r="O30" s="66"/>
    </row>
  </sheetData>
  <mergeCells count="2">
    <mergeCell ref="B4:K5"/>
    <mergeCell ref="F6:G6"/>
  </mergeCells>
  <pageMargins left="0.70866141732283472" right="0.70866141732283472" top="0.74803149606299213" bottom="0.74803149606299213" header="0.31496062992125984" footer="0.31496062992125984"/>
  <pageSetup paperSize="9" scale="84" orientation="landscape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P34"/>
  <sheetViews>
    <sheetView tabSelected="1" workbookViewId="0">
      <selection activeCell="I34" sqref="I34"/>
    </sheetView>
  </sheetViews>
  <sheetFormatPr defaultRowHeight="12.75" x14ac:dyDescent="0.2"/>
  <cols>
    <col min="1" max="1" width="1.42578125" style="30" customWidth="1"/>
    <col min="2" max="2" width="18.7109375" style="30" customWidth="1"/>
    <col min="3" max="3" width="9.7109375" style="30" bestFit="1" customWidth="1"/>
    <col min="4" max="10" width="9.140625" style="30"/>
    <col min="11" max="11" width="12.28515625" style="30" customWidth="1"/>
    <col min="12" max="12" width="11.140625" style="30" customWidth="1"/>
    <col min="13" max="13" width="10.85546875" style="30" customWidth="1"/>
    <col min="14" max="16384" width="9.140625" style="30"/>
  </cols>
  <sheetData>
    <row r="2" spans="2:16" x14ac:dyDescent="0.2">
      <c r="I2" s="403">
        <v>250</v>
      </c>
    </row>
    <row r="3" spans="2:16" ht="6" customHeight="1" thickBot="1" x14ac:dyDescent="0.25"/>
    <row r="4" spans="2:16" x14ac:dyDescent="0.2">
      <c r="B4" s="451" t="s">
        <v>663</v>
      </c>
      <c r="C4" s="452"/>
      <c r="D4" s="452"/>
      <c r="E4" s="452"/>
      <c r="F4" s="452"/>
      <c r="G4" s="452"/>
      <c r="H4" s="452"/>
      <c r="I4" s="452"/>
      <c r="J4" s="452"/>
      <c r="K4" s="453"/>
    </row>
    <row r="5" spans="2:16" ht="18" customHeight="1" thickBot="1" x14ac:dyDescent="0.25">
      <c r="B5" s="454"/>
      <c r="C5" s="455"/>
      <c r="D5" s="455"/>
      <c r="E5" s="455"/>
      <c r="F5" s="455"/>
      <c r="G5" s="455"/>
      <c r="H5" s="455"/>
      <c r="I5" s="455"/>
      <c r="J5" s="455"/>
      <c r="K5" s="456"/>
      <c r="L5" s="30" t="s">
        <v>569</v>
      </c>
    </row>
    <row r="6" spans="2:16" ht="66" customHeight="1" thickBot="1" x14ac:dyDescent="0.25">
      <c r="B6" s="99" t="s">
        <v>49</v>
      </c>
      <c r="C6" s="100" t="s">
        <v>91</v>
      </c>
      <c r="D6" s="101" t="s">
        <v>92</v>
      </c>
      <c r="E6" s="101" t="s">
        <v>93</v>
      </c>
      <c r="F6" s="457" t="s">
        <v>94</v>
      </c>
      <c r="G6" s="458"/>
      <c r="H6" s="100" t="s">
        <v>575</v>
      </c>
      <c r="I6" s="102" t="s">
        <v>718</v>
      </c>
      <c r="J6" s="214" t="s">
        <v>379</v>
      </c>
      <c r="K6" s="103" t="s">
        <v>578</v>
      </c>
      <c r="L6" s="400" t="s">
        <v>717</v>
      </c>
      <c r="M6" s="400" t="s">
        <v>571</v>
      </c>
      <c r="N6" s="401" t="s">
        <v>573</v>
      </c>
      <c r="O6" s="59" t="s">
        <v>574</v>
      </c>
      <c r="P6" s="59" t="s">
        <v>576</v>
      </c>
    </row>
    <row r="7" spans="2:16" x14ac:dyDescent="0.2">
      <c r="B7" s="240" t="s">
        <v>97</v>
      </c>
      <c r="C7" s="241">
        <v>6000</v>
      </c>
      <c r="D7" s="242">
        <f>0.35*C7</f>
        <v>2100</v>
      </c>
      <c r="E7" s="105">
        <f>C7-D7</f>
        <v>3900</v>
      </c>
      <c r="F7" s="106">
        <v>0.1021</v>
      </c>
      <c r="G7" s="107">
        <f>C7*F7</f>
        <v>612.6</v>
      </c>
      <c r="H7" s="291">
        <f>P7</f>
        <v>4</v>
      </c>
      <c r="I7" s="104">
        <f>H7*$I$2</f>
        <v>1000</v>
      </c>
      <c r="J7" s="215">
        <v>200</v>
      </c>
      <c r="K7" s="251">
        <f>E7+I7+J7</f>
        <v>5100</v>
      </c>
      <c r="L7" s="366">
        <v>1</v>
      </c>
      <c r="M7" s="366">
        <v>1</v>
      </c>
      <c r="N7" s="399">
        <v>1</v>
      </c>
      <c r="O7" s="390">
        <v>1</v>
      </c>
      <c r="P7" s="322">
        <f t="shared" ref="P7:P16" si="0">SUM(L7:O7)</f>
        <v>4</v>
      </c>
    </row>
    <row r="8" spans="2:16" x14ac:dyDescent="0.2">
      <c r="B8" s="112" t="s">
        <v>45</v>
      </c>
      <c r="C8" s="243">
        <v>4600</v>
      </c>
      <c r="D8" s="244">
        <f t="shared" ref="D8:D9" si="1">0.35*C8</f>
        <v>1610</v>
      </c>
      <c r="E8" s="105">
        <f t="shared" ref="E8:E16" si="2">C8-D8</f>
        <v>2990</v>
      </c>
      <c r="F8" s="111">
        <v>0.31419999999999998</v>
      </c>
      <c r="G8" s="107">
        <f t="shared" ref="G8:G16" si="3">C8*F8</f>
        <v>1445.32</v>
      </c>
      <c r="H8" s="291">
        <f t="shared" ref="H8:H15" si="4">P8</f>
        <v>4</v>
      </c>
      <c r="I8" s="104">
        <f t="shared" ref="I8:I15" si="5">H8*$I$2</f>
        <v>1000</v>
      </c>
      <c r="J8" s="215">
        <v>200</v>
      </c>
      <c r="K8" s="251">
        <f>E8+I8+J8</f>
        <v>4190</v>
      </c>
      <c r="L8" s="366">
        <v>1</v>
      </c>
      <c r="M8" s="399">
        <v>1</v>
      </c>
      <c r="N8" s="366">
        <v>1</v>
      </c>
      <c r="O8" s="390">
        <v>1</v>
      </c>
      <c r="P8" s="322">
        <f t="shared" si="0"/>
        <v>4</v>
      </c>
    </row>
    <row r="9" spans="2:16" x14ac:dyDescent="0.2">
      <c r="B9" s="112" t="s">
        <v>514</v>
      </c>
      <c r="C9" s="243">
        <v>3200</v>
      </c>
      <c r="D9" s="244">
        <f t="shared" si="1"/>
        <v>1120</v>
      </c>
      <c r="E9" s="105">
        <f t="shared" si="2"/>
        <v>2080</v>
      </c>
      <c r="F9" s="111">
        <v>0.31419999999999998</v>
      </c>
      <c r="G9" s="107">
        <f t="shared" si="3"/>
        <v>1005.4399999999999</v>
      </c>
      <c r="H9" s="291">
        <f t="shared" si="4"/>
        <v>4</v>
      </c>
      <c r="I9" s="104">
        <f t="shared" si="5"/>
        <v>1000</v>
      </c>
      <c r="J9" s="215"/>
      <c r="K9" s="251">
        <f t="shared" ref="K9:K16" si="6">E9+I9+J9</f>
        <v>3080</v>
      </c>
      <c r="L9" s="366">
        <v>1</v>
      </c>
      <c r="M9" s="366">
        <v>1</v>
      </c>
      <c r="N9" s="366">
        <v>1</v>
      </c>
      <c r="O9" s="390">
        <v>1</v>
      </c>
      <c r="P9" s="322">
        <f t="shared" si="0"/>
        <v>4</v>
      </c>
    </row>
    <row r="10" spans="2:16" x14ac:dyDescent="0.2">
      <c r="B10" s="112" t="s">
        <v>465</v>
      </c>
      <c r="C10" s="243">
        <v>0</v>
      </c>
      <c r="D10" s="244"/>
      <c r="E10" s="105">
        <f t="shared" si="2"/>
        <v>0</v>
      </c>
      <c r="F10" s="111"/>
      <c r="G10" s="107">
        <f t="shared" si="3"/>
        <v>0</v>
      </c>
      <c r="H10" s="291">
        <f t="shared" si="4"/>
        <v>4</v>
      </c>
      <c r="I10" s="104">
        <f t="shared" si="5"/>
        <v>1000</v>
      </c>
      <c r="J10" s="215"/>
      <c r="K10" s="367">
        <f t="shared" si="6"/>
        <v>1000</v>
      </c>
      <c r="L10" s="366">
        <v>1</v>
      </c>
      <c r="M10" s="366">
        <v>1</v>
      </c>
      <c r="N10" s="366">
        <v>1</v>
      </c>
      <c r="O10" s="390">
        <v>1</v>
      </c>
      <c r="P10" s="322">
        <f t="shared" si="0"/>
        <v>4</v>
      </c>
    </row>
    <row r="11" spans="2:16" x14ac:dyDescent="0.2">
      <c r="B11" s="112" t="s">
        <v>103</v>
      </c>
      <c r="C11" s="241">
        <v>0</v>
      </c>
      <c r="D11" s="242"/>
      <c r="E11" s="105">
        <f t="shared" si="2"/>
        <v>0</v>
      </c>
      <c r="F11" s="113"/>
      <c r="G11" s="107">
        <f t="shared" si="3"/>
        <v>0</v>
      </c>
      <c r="H11" s="291">
        <f t="shared" si="4"/>
        <v>4</v>
      </c>
      <c r="I11" s="104">
        <f t="shared" si="5"/>
        <v>1000</v>
      </c>
      <c r="J11" s="215">
        <v>200</v>
      </c>
      <c r="K11" s="251">
        <f t="shared" si="6"/>
        <v>1200</v>
      </c>
      <c r="L11" s="366">
        <v>1</v>
      </c>
      <c r="M11" s="366">
        <v>1</v>
      </c>
      <c r="N11" s="366">
        <v>1</v>
      </c>
      <c r="O11" s="368">
        <v>1</v>
      </c>
      <c r="P11" s="322">
        <f t="shared" si="0"/>
        <v>4</v>
      </c>
    </row>
    <row r="12" spans="2:16" x14ac:dyDescent="0.2">
      <c r="B12" s="112" t="s">
        <v>191</v>
      </c>
      <c r="C12" s="243">
        <v>0</v>
      </c>
      <c r="D12" s="244"/>
      <c r="E12" s="105">
        <f t="shared" si="2"/>
        <v>0</v>
      </c>
      <c r="F12" s="114"/>
      <c r="G12" s="107">
        <f t="shared" si="3"/>
        <v>0</v>
      </c>
      <c r="H12" s="291">
        <f t="shared" si="4"/>
        <v>4</v>
      </c>
      <c r="I12" s="104">
        <f t="shared" si="5"/>
        <v>1000</v>
      </c>
      <c r="J12" s="215"/>
      <c r="K12" s="251">
        <f t="shared" si="6"/>
        <v>1000</v>
      </c>
      <c r="L12" s="366">
        <v>1</v>
      </c>
      <c r="M12" s="366">
        <v>1</v>
      </c>
      <c r="N12" s="366">
        <v>1</v>
      </c>
      <c r="O12" s="390">
        <v>1</v>
      </c>
      <c r="P12" s="322">
        <f t="shared" si="0"/>
        <v>4</v>
      </c>
    </row>
    <row r="13" spans="2:16" x14ac:dyDescent="0.2">
      <c r="B13" s="112" t="s">
        <v>40</v>
      </c>
      <c r="C13" s="243">
        <v>0</v>
      </c>
      <c r="D13" s="244"/>
      <c r="E13" s="105">
        <f t="shared" si="2"/>
        <v>0</v>
      </c>
      <c r="F13" s="114"/>
      <c r="G13" s="107">
        <f t="shared" si="3"/>
        <v>0</v>
      </c>
      <c r="H13" s="291">
        <f t="shared" si="4"/>
        <v>2</v>
      </c>
      <c r="I13" s="104">
        <f t="shared" si="5"/>
        <v>500</v>
      </c>
      <c r="J13" s="215"/>
      <c r="K13" s="251">
        <f t="shared" si="6"/>
        <v>500</v>
      </c>
      <c r="L13" s="366">
        <v>1</v>
      </c>
      <c r="M13" s="402"/>
      <c r="N13" s="402"/>
      <c r="O13" s="390">
        <v>1</v>
      </c>
      <c r="P13" s="322">
        <f t="shared" si="0"/>
        <v>2</v>
      </c>
    </row>
    <row r="14" spans="2:16" x14ac:dyDescent="0.2">
      <c r="B14" s="112" t="s">
        <v>665</v>
      </c>
      <c r="C14" s="243">
        <v>0</v>
      </c>
      <c r="D14" s="244"/>
      <c r="E14" s="105">
        <f t="shared" si="2"/>
        <v>0</v>
      </c>
      <c r="F14" s="114"/>
      <c r="G14" s="107">
        <f t="shared" si="3"/>
        <v>0</v>
      </c>
      <c r="H14" s="291">
        <f t="shared" si="4"/>
        <v>2</v>
      </c>
      <c r="I14" s="104">
        <f t="shared" si="5"/>
        <v>500</v>
      </c>
      <c r="J14" s="215"/>
      <c r="K14" s="367">
        <f t="shared" si="6"/>
        <v>500</v>
      </c>
      <c r="L14" s="366"/>
      <c r="M14" s="366">
        <v>1</v>
      </c>
      <c r="N14" s="402"/>
      <c r="O14" s="390">
        <v>1</v>
      </c>
      <c r="P14" s="322">
        <f t="shared" si="0"/>
        <v>2</v>
      </c>
    </row>
    <row r="15" spans="2:16" x14ac:dyDescent="0.2">
      <c r="B15" s="112" t="s">
        <v>664</v>
      </c>
      <c r="C15" s="243">
        <v>0</v>
      </c>
      <c r="D15" s="244"/>
      <c r="E15" s="105">
        <f t="shared" si="2"/>
        <v>0</v>
      </c>
      <c r="F15" s="114"/>
      <c r="G15" s="107">
        <f t="shared" si="3"/>
        <v>0</v>
      </c>
      <c r="H15" s="291">
        <f t="shared" si="4"/>
        <v>1</v>
      </c>
      <c r="I15" s="104">
        <f t="shared" si="5"/>
        <v>250</v>
      </c>
      <c r="J15" s="215"/>
      <c r="K15" s="251">
        <f t="shared" si="6"/>
        <v>250</v>
      </c>
      <c r="L15" s="366">
        <v>1</v>
      </c>
      <c r="M15" s="366"/>
      <c r="N15" s="402"/>
      <c r="P15" s="322">
        <f t="shared" si="0"/>
        <v>1</v>
      </c>
    </row>
    <row r="16" spans="2:16" ht="13.5" thickBot="1" x14ac:dyDescent="0.25">
      <c r="B16" s="112" t="s">
        <v>104</v>
      </c>
      <c r="C16" s="243">
        <v>800</v>
      </c>
      <c r="D16" s="244">
        <v>0</v>
      </c>
      <c r="E16" s="105">
        <f t="shared" si="2"/>
        <v>800</v>
      </c>
      <c r="F16" s="114"/>
      <c r="G16" s="107">
        <f t="shared" si="3"/>
        <v>0</v>
      </c>
      <c r="H16" s="292">
        <v>0</v>
      </c>
      <c r="I16" s="104">
        <f t="shared" ref="I16" si="7">H16*200</f>
        <v>0</v>
      </c>
      <c r="J16" s="215"/>
      <c r="K16" s="290">
        <f t="shared" si="6"/>
        <v>800</v>
      </c>
      <c r="L16" s="366"/>
      <c r="M16" s="366"/>
      <c r="N16" s="402"/>
      <c r="P16" s="322">
        <f t="shared" si="0"/>
        <v>0</v>
      </c>
    </row>
    <row r="17" spans="2:16" ht="13.5" thickBot="1" x14ac:dyDescent="0.25">
      <c r="B17" s="115" t="s">
        <v>35</v>
      </c>
      <c r="C17" s="116">
        <f t="shared" ref="C17:H17" si="8">SUM(C7:C16)</f>
        <v>14600</v>
      </c>
      <c r="D17" s="117">
        <f t="shared" si="8"/>
        <v>4830</v>
      </c>
      <c r="E17" s="117">
        <f t="shared" si="8"/>
        <v>9770</v>
      </c>
      <c r="F17" s="116"/>
      <c r="G17" s="118">
        <f t="shared" si="8"/>
        <v>3063.36</v>
      </c>
      <c r="H17" s="119">
        <f t="shared" si="8"/>
        <v>29</v>
      </c>
      <c r="I17" s="326">
        <f>SUM(I7:I16)</f>
        <v>7250</v>
      </c>
      <c r="J17" s="326">
        <f>SUM(J7:J16)</f>
        <v>600</v>
      </c>
      <c r="K17" s="297">
        <f>SUM(K7:K16)</f>
        <v>17620</v>
      </c>
      <c r="L17" s="391">
        <f>SUM(L7:L16)</f>
        <v>8</v>
      </c>
      <c r="M17" s="391">
        <f t="shared" ref="M17" si="9">SUM(M7:M16)</f>
        <v>7</v>
      </c>
      <c r="N17" s="2">
        <f>SUM(N7:N16)</f>
        <v>6</v>
      </c>
      <c r="O17" s="2">
        <f>SUM(O7:O16)</f>
        <v>8</v>
      </c>
      <c r="P17" s="323">
        <f>SUM(P7:P16)</f>
        <v>29</v>
      </c>
    </row>
    <row r="18" spans="2:16" x14ac:dyDescent="0.2">
      <c r="B18" s="122"/>
      <c r="C18" s="123"/>
      <c r="D18" s="124"/>
      <c r="E18" s="124"/>
      <c r="F18" s="123"/>
      <c r="G18" s="123"/>
      <c r="H18" s="125"/>
      <c r="I18" s="126"/>
      <c r="J18" s="126"/>
      <c r="K18" s="123"/>
    </row>
    <row r="19" spans="2:16" s="220" customFormat="1" x14ac:dyDescent="0.2">
      <c r="B19" s="131"/>
      <c r="C19" s="127"/>
      <c r="D19" s="128"/>
      <c r="E19" s="128"/>
      <c r="F19" s="127"/>
      <c r="G19" s="127"/>
      <c r="H19" s="129"/>
      <c r="I19" s="130"/>
      <c r="J19" s="130"/>
      <c r="K19" s="127"/>
    </row>
    <row r="20" spans="2:16" ht="13.5" thickBot="1" x14ac:dyDescent="0.25">
      <c r="B20" s="218"/>
      <c r="C20" s="219"/>
      <c r="D20" s="131"/>
      <c r="E20" s="128"/>
      <c r="F20" s="127"/>
      <c r="G20" s="127"/>
      <c r="H20" s="129"/>
      <c r="I20" s="130" t="s">
        <v>37</v>
      </c>
      <c r="J20" s="130"/>
      <c r="K20" s="127">
        <f>E17</f>
        <v>9770</v>
      </c>
      <c r="L20" s="366"/>
      <c r="M20" s="30" t="s">
        <v>602</v>
      </c>
      <c r="O20" s="2">
        <f>K7+K8+K9+K11+K12+K13+K15+400</f>
        <v>15720</v>
      </c>
    </row>
    <row r="21" spans="2:16" ht="13.5" thickBot="1" x14ac:dyDescent="0.25">
      <c r="B21" s="132" t="s">
        <v>105</v>
      </c>
      <c r="C21" s="133" t="s">
        <v>565</v>
      </c>
      <c r="D21" s="134"/>
      <c r="E21" s="135"/>
      <c r="F21" s="121"/>
      <c r="G21" s="127"/>
      <c r="H21" s="129"/>
      <c r="I21" s="130" t="s">
        <v>9</v>
      </c>
      <c r="J21" s="130"/>
      <c r="K21" s="127">
        <f>I17+J17</f>
        <v>7850</v>
      </c>
      <c r="O21" s="30" t="s">
        <v>603</v>
      </c>
      <c r="P21" s="2">
        <f>E7+E8+E9+400</f>
        <v>9370</v>
      </c>
    </row>
    <row r="22" spans="2:16" x14ac:dyDescent="0.2">
      <c r="B22" s="136" t="s">
        <v>106</v>
      </c>
      <c r="C22" s="137">
        <f>SUM(C7:C16)</f>
        <v>14600</v>
      </c>
      <c r="D22" s="138" t="s">
        <v>107</v>
      </c>
      <c r="E22" s="137">
        <f>SUM(E6:E16)</f>
        <v>9770</v>
      </c>
      <c r="F22" s="139"/>
      <c r="I22" s="30" t="s">
        <v>580</v>
      </c>
      <c r="K22" s="2">
        <f>D17+G17</f>
        <v>7893.3600000000006</v>
      </c>
      <c r="O22" s="30" t="s">
        <v>604</v>
      </c>
      <c r="P22" s="2">
        <f>O20-P21</f>
        <v>6350</v>
      </c>
    </row>
    <row r="23" spans="2:16" x14ac:dyDescent="0.2">
      <c r="B23" s="140" t="s">
        <v>108</v>
      </c>
      <c r="C23" s="141">
        <v>310</v>
      </c>
      <c r="D23" s="142" t="s">
        <v>107</v>
      </c>
      <c r="E23" s="141">
        <v>201.5</v>
      </c>
      <c r="F23" s="143"/>
      <c r="I23" s="30">
        <f>(80*310)+3077</f>
        <v>27877</v>
      </c>
      <c r="J23" s="30">
        <f>I23*0.35</f>
        <v>9756.9499999999989</v>
      </c>
      <c r="K23" s="30">
        <f>F7*I23</f>
        <v>2846.2417</v>
      </c>
      <c r="M23" s="368"/>
      <c r="N23" s="30" t="s">
        <v>612</v>
      </c>
      <c r="P23" s="2">
        <f>K10+K14</f>
        <v>1500</v>
      </c>
    </row>
    <row r="24" spans="2:16" x14ac:dyDescent="0.2">
      <c r="B24" s="140" t="s">
        <v>467</v>
      </c>
      <c r="C24" s="141">
        <f>D17</f>
        <v>4830</v>
      </c>
      <c r="D24" s="142"/>
      <c r="E24" s="110"/>
      <c r="F24" s="143"/>
    </row>
    <row r="25" spans="2:16" x14ac:dyDescent="0.2">
      <c r="B25" s="140" t="s">
        <v>110</v>
      </c>
      <c r="C25" s="325">
        <f>I17+J17</f>
        <v>7850</v>
      </c>
      <c r="D25" s="142"/>
      <c r="E25" s="110"/>
      <c r="F25" s="143"/>
      <c r="I25" s="30">
        <f>I23-J23</f>
        <v>18120.050000000003</v>
      </c>
      <c r="K25" s="2">
        <f>K22+J23+K23</f>
        <v>20496.551699999996</v>
      </c>
    </row>
    <row r="26" spans="2:16" ht="13.5" thickBot="1" x14ac:dyDescent="0.25">
      <c r="B26" s="144" t="s">
        <v>111</v>
      </c>
      <c r="C26" s="145">
        <f>G17</f>
        <v>3063.36</v>
      </c>
      <c r="D26" s="146"/>
      <c r="E26" s="147"/>
      <c r="F26" s="148"/>
      <c r="I26" s="2">
        <f>I25+Bokföring!X106+600</f>
        <v>24436.530000000002</v>
      </c>
    </row>
    <row r="27" spans="2:16" ht="13.5" thickBot="1" x14ac:dyDescent="0.25">
      <c r="B27" s="144" t="s">
        <v>382</v>
      </c>
      <c r="C27" s="145">
        <f>E22+C25</f>
        <v>17620</v>
      </c>
      <c r="D27" s="146"/>
      <c r="E27" s="147"/>
      <c r="F27" s="148"/>
      <c r="I27" s="149"/>
      <c r="J27" s="149"/>
      <c r="K27" s="150"/>
      <c r="M27" s="30">
        <v>30</v>
      </c>
      <c r="N27" s="30">
        <v>37</v>
      </c>
    </row>
    <row r="28" spans="2:16" ht="16.5" customHeight="1" thickBot="1" x14ac:dyDescent="0.25">
      <c r="B28" s="144" t="s">
        <v>579</v>
      </c>
      <c r="C28" s="145">
        <f>C24+C26</f>
        <v>7893.3600000000006</v>
      </c>
      <c r="D28" s="146"/>
      <c r="E28" s="147"/>
      <c r="F28" s="148"/>
      <c r="K28" s="66"/>
      <c r="L28" s="66"/>
      <c r="M28" s="66" t="s">
        <v>711</v>
      </c>
      <c r="N28" s="66" t="s">
        <v>710</v>
      </c>
      <c r="O28" s="66"/>
    </row>
    <row r="29" spans="2:16" x14ac:dyDescent="0.2">
      <c r="K29" s="66" t="s">
        <v>708</v>
      </c>
      <c r="L29" s="66"/>
      <c r="M29" s="66">
        <f>M27*50</f>
        <v>1500</v>
      </c>
      <c r="N29" s="66">
        <f>N27*50</f>
        <v>1850</v>
      </c>
      <c r="O29" s="66"/>
    </row>
    <row r="30" spans="2:16" x14ac:dyDescent="0.2">
      <c r="K30" s="66" t="s">
        <v>709</v>
      </c>
      <c r="L30" s="66"/>
      <c r="M30" s="66">
        <f>M27*100</f>
        <v>3000</v>
      </c>
      <c r="N30" s="66">
        <f>N27*100</f>
        <v>3700</v>
      </c>
      <c r="O30" s="66"/>
    </row>
    <row r="34" spans="9:9" x14ac:dyDescent="0.2">
      <c r="I34" s="30" t="s">
        <v>422</v>
      </c>
    </row>
  </sheetData>
  <mergeCells count="2">
    <mergeCell ref="B4:K5"/>
    <mergeCell ref="F6:G6"/>
  </mergeCells>
  <pageMargins left="0.70866141732283472" right="0.70866141732283472" top="0.74803149606299213" bottom="0.74803149606299213" header="0.31496062992125984" footer="0.31496062992125984"/>
  <pageSetup paperSize="9" scale="84" orientation="landscape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J30"/>
  <sheetViews>
    <sheetView workbookViewId="0">
      <selection activeCell="D30" sqref="D30"/>
    </sheetView>
  </sheetViews>
  <sheetFormatPr defaultRowHeight="14.25" x14ac:dyDescent="0.2"/>
  <cols>
    <col min="1" max="1" width="31.28515625" style="152" customWidth="1"/>
    <col min="2" max="2" width="12.28515625" style="152" customWidth="1"/>
    <col min="3" max="3" width="13.140625" style="152" customWidth="1"/>
    <col min="4" max="5" width="15.85546875" style="152" customWidth="1"/>
    <col min="6" max="6" width="14.5703125" style="152" customWidth="1"/>
    <col min="7" max="7" width="14.7109375" style="152" customWidth="1"/>
    <col min="8" max="8" width="13.7109375" style="152" customWidth="1"/>
    <col min="9" max="9" width="14" style="152" customWidth="1"/>
    <col min="10" max="16384" width="9.140625" style="152"/>
  </cols>
  <sheetData>
    <row r="3" spans="1:10" ht="15.75" x14ac:dyDescent="0.25">
      <c r="A3" s="175" t="s">
        <v>346</v>
      </c>
      <c r="B3" s="158"/>
      <c r="C3" s="158"/>
      <c r="D3" s="158"/>
      <c r="E3" s="158"/>
      <c r="F3" s="158"/>
    </row>
    <row r="4" spans="1:10" x14ac:dyDescent="0.2">
      <c r="C4" s="152">
        <v>1500</v>
      </c>
      <c r="D4" s="152">
        <v>1000</v>
      </c>
      <c r="E4" s="152">
        <v>1000</v>
      </c>
      <c r="F4" s="152">
        <v>1700</v>
      </c>
    </row>
    <row r="6" spans="1:10" ht="15.75" thickBot="1" x14ac:dyDescent="0.3">
      <c r="A6" s="158" t="s">
        <v>347</v>
      </c>
      <c r="B6" s="168" t="s">
        <v>359</v>
      </c>
      <c r="C6" s="168" t="s">
        <v>360</v>
      </c>
      <c r="D6" s="168" t="s">
        <v>357</v>
      </c>
      <c r="E6" s="168" t="s">
        <v>358</v>
      </c>
      <c r="F6" s="168" t="s">
        <v>351</v>
      </c>
      <c r="G6" s="168" t="s">
        <v>352</v>
      </c>
      <c r="H6" s="168" t="s">
        <v>355</v>
      </c>
      <c r="I6" s="168" t="s">
        <v>356</v>
      </c>
    </row>
    <row r="8" spans="1:10" x14ac:dyDescent="0.2">
      <c r="A8" s="152" t="s">
        <v>353</v>
      </c>
      <c r="B8" s="154">
        <f>7010</f>
        <v>7010</v>
      </c>
      <c r="C8" s="154">
        <f>850+1229+5404+C4</f>
        <v>8983</v>
      </c>
      <c r="D8" s="154">
        <f>2670+D4</f>
        <v>3670</v>
      </c>
      <c r="E8" s="154">
        <f>2539+E4</f>
        <v>3539</v>
      </c>
      <c r="F8" s="154">
        <f>1616+1589+F4+139</f>
        <v>5044</v>
      </c>
      <c r="G8" s="154">
        <f>150+305</f>
        <v>455</v>
      </c>
      <c r="H8" s="154"/>
      <c r="I8" s="154"/>
      <c r="J8" s="154">
        <f>SUM(B8:I8)</f>
        <v>28701</v>
      </c>
    </row>
    <row r="9" spans="1:10" x14ac:dyDescent="0.2">
      <c r="A9" s="152" t="s">
        <v>354</v>
      </c>
      <c r="B9" s="152">
        <v>-3500</v>
      </c>
      <c r="C9" s="154">
        <f>-(7913)-D9-E9</f>
        <v>-7061</v>
      </c>
      <c r="D9" s="154">
        <f>-(154+150+146+40+40+40+40+40+40+152+10)/2</f>
        <v>-426</v>
      </c>
      <c r="E9" s="154">
        <f>-(154+150+146+40+40+40+40+40+40+152+10)/2</f>
        <v>-426</v>
      </c>
      <c r="F9" s="154">
        <f>-3740-523</f>
        <v>-4263</v>
      </c>
      <c r="G9" s="154">
        <f>-(199-19+19.8+37.8+119.7+375-250-40)</f>
        <v>-442.29999999999995</v>
      </c>
      <c r="H9" s="154">
        <f>-(93.8+2.5+3+21.4+10.9-47)</f>
        <v>-84.6</v>
      </c>
      <c r="I9" s="154">
        <v>-1000</v>
      </c>
      <c r="J9" s="152">
        <f>SUM(B9:I9)</f>
        <v>-17202.900000000001</v>
      </c>
    </row>
    <row r="10" spans="1:10" x14ac:dyDescent="0.2">
      <c r="B10" s="154"/>
      <c r="C10" s="154"/>
      <c r="D10" s="154"/>
      <c r="E10" s="154"/>
      <c r="F10" s="154"/>
      <c r="I10" s="154"/>
    </row>
    <row r="11" spans="1:10" x14ac:dyDescent="0.2">
      <c r="B11" s="154"/>
      <c r="C11" s="154"/>
      <c r="D11" s="154"/>
      <c r="E11" s="154"/>
      <c r="F11" s="154"/>
      <c r="G11" s="154"/>
      <c r="H11" s="154"/>
    </row>
    <row r="12" spans="1:10" x14ac:dyDescent="0.2">
      <c r="B12" s="154"/>
      <c r="C12" s="154"/>
      <c r="D12" s="154"/>
      <c r="E12" s="154"/>
      <c r="F12" s="154"/>
      <c r="G12" s="154"/>
      <c r="H12" s="154"/>
      <c r="I12" s="154"/>
    </row>
    <row r="13" spans="1:10" ht="15" x14ac:dyDescent="0.25">
      <c r="A13" s="183" t="s">
        <v>107</v>
      </c>
      <c r="B13" s="184">
        <f>B8+B9</f>
        <v>3510</v>
      </c>
      <c r="C13" s="184">
        <f t="shared" ref="C13:I13" si="0">C8+C9</f>
        <v>1922</v>
      </c>
      <c r="D13" s="184">
        <f t="shared" si="0"/>
        <v>3244</v>
      </c>
      <c r="E13" s="184">
        <f t="shared" si="0"/>
        <v>3113</v>
      </c>
      <c r="F13" s="184">
        <f t="shared" si="0"/>
        <v>781</v>
      </c>
      <c r="G13" s="184">
        <f t="shared" si="0"/>
        <v>12.700000000000045</v>
      </c>
      <c r="H13" s="184">
        <f t="shared" si="0"/>
        <v>-84.6</v>
      </c>
      <c r="I13" s="184">
        <f t="shared" si="0"/>
        <v>-1000</v>
      </c>
      <c r="J13" s="184">
        <f>SUM(J8:J11)</f>
        <v>11498.099999999999</v>
      </c>
    </row>
    <row r="14" spans="1:10" x14ac:dyDescent="0.2">
      <c r="B14" s="154"/>
      <c r="C14" s="154"/>
      <c r="D14" s="154"/>
      <c r="E14" s="154"/>
      <c r="F14" s="154"/>
      <c r="G14" s="154"/>
      <c r="H14" s="154"/>
      <c r="I14" s="154"/>
    </row>
    <row r="15" spans="1:10" x14ac:dyDescent="0.2">
      <c r="B15" s="154"/>
      <c r="C15" s="154"/>
      <c r="D15" s="154"/>
      <c r="E15" s="154"/>
      <c r="F15" s="154"/>
      <c r="G15" s="154"/>
      <c r="H15" s="154"/>
      <c r="I15" s="154"/>
    </row>
    <row r="16" spans="1:10" x14ac:dyDescent="0.2">
      <c r="B16" s="154"/>
      <c r="C16" s="154"/>
      <c r="D16" s="154"/>
      <c r="E16" s="154"/>
      <c r="F16" s="154"/>
      <c r="G16" s="154"/>
      <c r="H16" s="154"/>
      <c r="I16" s="154"/>
    </row>
    <row r="17" spans="1:10" x14ac:dyDescent="0.2">
      <c r="B17" s="154"/>
      <c r="C17" s="154"/>
      <c r="D17" s="154"/>
      <c r="E17" s="154"/>
      <c r="F17" s="154"/>
      <c r="G17" s="154"/>
      <c r="H17" s="154"/>
      <c r="I17" s="154"/>
    </row>
    <row r="18" spans="1:10" x14ac:dyDescent="0.2">
      <c r="B18" s="154"/>
      <c r="C18" s="154"/>
      <c r="D18" s="154"/>
      <c r="E18" s="154"/>
      <c r="F18" s="154"/>
      <c r="G18" s="154"/>
      <c r="H18" s="154"/>
      <c r="I18" s="154"/>
      <c r="J18" s="154"/>
    </row>
    <row r="19" spans="1:10" x14ac:dyDescent="0.2">
      <c r="B19" s="154"/>
      <c r="C19" s="154"/>
      <c r="D19" s="154"/>
      <c r="E19" s="154"/>
      <c r="F19" s="154" t="s">
        <v>361</v>
      </c>
      <c r="G19" s="154">
        <f>15722.07+9900</f>
        <v>25622.07</v>
      </c>
      <c r="H19" s="154">
        <v>38417.72</v>
      </c>
      <c r="I19" s="182">
        <f>H19-G19</f>
        <v>12795.650000000001</v>
      </c>
      <c r="J19" s="154">
        <f>J13+B29</f>
        <v>12795.749999999998</v>
      </c>
    </row>
    <row r="20" spans="1:10" x14ac:dyDescent="0.2">
      <c r="B20" s="154"/>
      <c r="C20" s="154"/>
      <c r="D20" s="154"/>
      <c r="E20" s="154"/>
      <c r="F20" s="154"/>
      <c r="G20" s="154"/>
      <c r="H20" s="154"/>
      <c r="I20" s="154"/>
      <c r="J20" s="154">
        <f>I19-J19</f>
        <v>-9.9999999996725819E-2</v>
      </c>
    </row>
    <row r="21" spans="1:10" x14ac:dyDescent="0.2">
      <c r="B21" s="154"/>
      <c r="C21" s="154"/>
      <c r="D21" s="154"/>
      <c r="E21" s="154"/>
      <c r="F21" s="154"/>
      <c r="G21" s="154"/>
      <c r="H21" s="154"/>
      <c r="I21" s="154"/>
    </row>
    <row r="22" spans="1:10" x14ac:dyDescent="0.2">
      <c r="B22" s="154"/>
      <c r="C22" s="154"/>
      <c r="D22" s="154"/>
      <c r="E22" s="154"/>
      <c r="F22" s="154"/>
      <c r="G22" s="154"/>
      <c r="H22" s="154"/>
      <c r="I22" s="154"/>
    </row>
    <row r="23" spans="1:10" x14ac:dyDescent="0.2">
      <c r="B23" s="154"/>
      <c r="C23" s="154"/>
      <c r="D23" s="154"/>
      <c r="E23" s="154"/>
      <c r="F23" s="154"/>
      <c r="G23" s="154"/>
      <c r="H23" s="154"/>
      <c r="I23" s="154"/>
    </row>
    <row r="24" spans="1:10" x14ac:dyDescent="0.2">
      <c r="B24" s="154"/>
      <c r="C24" s="154"/>
      <c r="D24" s="154"/>
      <c r="E24" s="154"/>
      <c r="F24" s="154"/>
      <c r="G24" s="154"/>
      <c r="H24" s="154"/>
      <c r="I24" s="154"/>
    </row>
    <row r="25" spans="1:10" ht="15" x14ac:dyDescent="0.25">
      <c r="A25" s="158" t="s">
        <v>348</v>
      </c>
      <c r="B25" s="154"/>
      <c r="C25" s="154"/>
      <c r="D25" s="154"/>
      <c r="E25" s="154"/>
      <c r="F25" s="154"/>
      <c r="G25" s="154"/>
      <c r="H25" s="154"/>
      <c r="I25" s="154"/>
    </row>
    <row r="26" spans="1:10" x14ac:dyDescent="0.2">
      <c r="B26" s="154"/>
      <c r="C26" s="154"/>
      <c r="D26" s="154"/>
      <c r="E26" s="154"/>
      <c r="F26" s="154"/>
      <c r="G26" s="154"/>
      <c r="H26" s="154"/>
      <c r="I26" s="154"/>
    </row>
    <row r="27" spans="1:10" x14ac:dyDescent="0.2">
      <c r="A27" s="152" t="s">
        <v>349</v>
      </c>
      <c r="B27" s="154">
        <v>10000</v>
      </c>
      <c r="C27" s="154"/>
      <c r="D27" s="154"/>
      <c r="E27" s="154"/>
      <c r="F27" s="154"/>
      <c r="G27" s="154"/>
      <c r="H27" s="154"/>
      <c r="I27" s="154"/>
    </row>
    <row r="28" spans="1:10" x14ac:dyDescent="0.2">
      <c r="A28" s="152" t="s">
        <v>350</v>
      </c>
      <c r="B28" s="154">
        <f>1320.65-9000-648-375</f>
        <v>-8702.35</v>
      </c>
      <c r="C28" s="154"/>
      <c r="D28" s="154"/>
      <c r="E28" s="154"/>
      <c r="F28" s="154"/>
      <c r="G28" s="154"/>
      <c r="H28" s="154"/>
      <c r="I28" s="154"/>
    </row>
    <row r="29" spans="1:10" x14ac:dyDescent="0.2">
      <c r="A29" s="152" t="s">
        <v>107</v>
      </c>
      <c r="B29" s="154">
        <f>SUM(B27:B28)</f>
        <v>1297.6499999999996</v>
      </c>
      <c r="C29" s="154"/>
      <c r="D29" s="154"/>
      <c r="E29" s="154"/>
      <c r="F29" s="154"/>
      <c r="G29" s="154"/>
      <c r="H29" s="154"/>
      <c r="I29" s="154"/>
    </row>
    <row r="30" spans="1:10" x14ac:dyDescent="0.2">
      <c r="B30" s="154"/>
      <c r="C30" s="154"/>
      <c r="D30" s="154"/>
      <c r="E30" s="154"/>
      <c r="F30" s="154"/>
      <c r="G30" s="154"/>
      <c r="H30" s="154"/>
      <c r="I30" s="154"/>
    </row>
  </sheetData>
  <pageMargins left="0.70866141732283472" right="0.70866141732283472" top="0.74803149606299213" bottom="0.74803149606299213" header="0.31496062992125984" footer="0.31496062992125984"/>
  <pageSetup scale="79" orientation="landscape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37"/>
  <sheetViews>
    <sheetView workbookViewId="0">
      <selection activeCell="E36" sqref="E36"/>
    </sheetView>
  </sheetViews>
  <sheetFormatPr defaultRowHeight="14.25" x14ac:dyDescent="0.2"/>
  <cols>
    <col min="1" max="1" width="41" style="152" customWidth="1"/>
    <col min="2" max="2" width="23.85546875" style="152" customWidth="1"/>
    <col min="3" max="3" width="13.140625" style="152" customWidth="1"/>
    <col min="4" max="5" width="15.85546875" style="152" customWidth="1"/>
    <col min="6" max="6" width="14.5703125" style="152" customWidth="1"/>
    <col min="7" max="7" width="14.7109375" style="152" customWidth="1"/>
    <col min="8" max="8" width="13.7109375" style="152" customWidth="1"/>
    <col min="9" max="9" width="14" style="152" customWidth="1"/>
    <col min="10" max="16384" width="9.140625" style="152"/>
  </cols>
  <sheetData>
    <row r="3" spans="1:6" ht="15.75" x14ac:dyDescent="0.25">
      <c r="A3" s="175" t="s">
        <v>429</v>
      </c>
      <c r="B3" s="158"/>
      <c r="C3" s="158"/>
      <c r="D3" s="158"/>
      <c r="E3" s="158"/>
      <c r="F3" s="158"/>
    </row>
    <row r="6" spans="1:6" ht="18" x14ac:dyDescent="0.25">
      <c r="A6" s="260" t="s">
        <v>444</v>
      </c>
      <c r="B6" s="260"/>
      <c r="C6" s="261" t="s">
        <v>427</v>
      </c>
      <c r="D6" s="261" t="s">
        <v>428</v>
      </c>
      <c r="E6" s="262" t="s">
        <v>439</v>
      </c>
    </row>
    <row r="8" spans="1:6" x14ac:dyDescent="0.2">
      <c r="A8" s="258" t="s">
        <v>441</v>
      </c>
      <c r="B8" s="258"/>
      <c r="C8" s="259"/>
      <c r="D8" s="259"/>
      <c r="E8" s="259">
        <f>38984.86</f>
        <v>38984.86</v>
      </c>
    </row>
    <row r="9" spans="1:6" x14ac:dyDescent="0.2">
      <c r="A9" s="152" t="s">
        <v>69</v>
      </c>
      <c r="C9" s="154"/>
      <c r="D9" s="154"/>
      <c r="E9" s="154">
        <v>567.14</v>
      </c>
    </row>
    <row r="10" spans="1:6" x14ac:dyDescent="0.2">
      <c r="A10" s="152" t="s">
        <v>424</v>
      </c>
      <c r="C10" s="154"/>
      <c r="D10" s="154"/>
      <c r="E10" s="154">
        <f>-(14700+967+2316.99)</f>
        <v>-17983.989999999998</v>
      </c>
    </row>
    <row r="11" spans="1:6" x14ac:dyDescent="0.2">
      <c r="C11" s="154"/>
      <c r="D11" s="154"/>
      <c r="E11" s="154"/>
    </row>
    <row r="12" spans="1:6" ht="15" x14ac:dyDescent="0.25">
      <c r="A12" s="264" t="s">
        <v>425</v>
      </c>
      <c r="B12" s="264"/>
      <c r="C12" s="265"/>
      <c r="D12" s="265"/>
      <c r="E12" s="265">
        <f>E8+E9+E10</f>
        <v>21568.010000000002</v>
      </c>
    </row>
    <row r="13" spans="1:6" x14ac:dyDescent="0.2">
      <c r="C13" s="154"/>
      <c r="D13" s="154"/>
      <c r="E13" s="154"/>
    </row>
    <row r="14" spans="1:6" x14ac:dyDescent="0.2">
      <c r="E14" s="154"/>
    </row>
    <row r="15" spans="1:6" x14ac:dyDescent="0.2">
      <c r="A15" s="256" t="s">
        <v>426</v>
      </c>
      <c r="B15" s="256"/>
      <c r="C15" s="257">
        <v>7000</v>
      </c>
      <c r="D15" s="257">
        <v>-2659</v>
      </c>
      <c r="E15" s="257">
        <f>C15+D15</f>
        <v>4341</v>
      </c>
    </row>
    <row r="16" spans="1:6" x14ac:dyDescent="0.2">
      <c r="D16" s="154"/>
      <c r="E16" s="154"/>
    </row>
    <row r="17" spans="1:5" x14ac:dyDescent="0.2">
      <c r="B17" s="152" t="s">
        <v>431</v>
      </c>
      <c r="C17" s="154"/>
      <c r="D17" s="263">
        <f>-(2263.75+2257.5+136.5)</f>
        <v>-4657.75</v>
      </c>
      <c r="E17" s="154"/>
    </row>
    <row r="18" spans="1:5" x14ac:dyDescent="0.2">
      <c r="B18" s="152" t="s">
        <v>432</v>
      </c>
      <c r="C18" s="154"/>
      <c r="D18" s="263">
        <f>-(2551.8+220)</f>
        <v>-2771.8</v>
      </c>
      <c r="E18" s="154"/>
    </row>
    <row r="19" spans="1:5" x14ac:dyDescent="0.2">
      <c r="B19" s="152" t="s">
        <v>438</v>
      </c>
      <c r="C19" s="154"/>
      <c r="D19" s="263">
        <f>-(78.6+590.5+55)</f>
        <v>-724.1</v>
      </c>
      <c r="E19" s="154"/>
    </row>
    <row r="20" spans="1:5" x14ac:dyDescent="0.2">
      <c r="B20" s="152" t="s">
        <v>433</v>
      </c>
      <c r="C20" s="154"/>
      <c r="D20" s="263">
        <f>-(925+47.5)</f>
        <v>-972.5</v>
      </c>
      <c r="E20" s="154"/>
    </row>
    <row r="21" spans="1:5" x14ac:dyDescent="0.2">
      <c r="B21" s="152" t="s">
        <v>434</v>
      </c>
      <c r="C21" s="154"/>
      <c r="D21" s="263">
        <f>-(79.6+39.8+39.8+79.6+39.8+39.8+82.8)</f>
        <v>-401.2</v>
      </c>
      <c r="E21" s="154"/>
    </row>
    <row r="22" spans="1:5" x14ac:dyDescent="0.2">
      <c r="B22" s="152" t="s">
        <v>436</v>
      </c>
      <c r="C22" s="154"/>
      <c r="D22" s="154">
        <f>-279</f>
        <v>-279</v>
      </c>
      <c r="E22" s="154"/>
    </row>
    <row r="23" spans="1:5" x14ac:dyDescent="0.2">
      <c r="B23" s="152" t="s">
        <v>437</v>
      </c>
      <c r="C23" s="154"/>
      <c r="D23" s="154">
        <f>-(828-84)</f>
        <v>-744</v>
      </c>
      <c r="E23" s="154"/>
    </row>
    <row r="24" spans="1:5" x14ac:dyDescent="0.2">
      <c r="A24" s="256" t="s">
        <v>430</v>
      </c>
      <c r="B24" s="256"/>
      <c r="C24" s="257">
        <f>1537+31350-C26-C15+2000-291</f>
        <v>15209.7</v>
      </c>
      <c r="D24" s="257">
        <f>SUM(D17:D23)</f>
        <v>-10550.350000000002</v>
      </c>
      <c r="E24" s="257">
        <f>C24+D24</f>
        <v>4659.3499999999985</v>
      </c>
    </row>
    <row r="25" spans="1:5" x14ac:dyDescent="0.2">
      <c r="C25" s="154"/>
      <c r="D25" s="154"/>
      <c r="E25" s="154"/>
    </row>
    <row r="26" spans="1:5" x14ac:dyDescent="0.2">
      <c r="A26" s="256" t="s">
        <v>435</v>
      </c>
      <c r="B26" s="256"/>
      <c r="C26" s="257">
        <f>-D26+E26</f>
        <v>12386.3</v>
      </c>
      <c r="D26" s="257">
        <f>-(448+2790.3+448)</f>
        <v>-3686.3</v>
      </c>
      <c r="E26" s="257">
        <f>8700</f>
        <v>8700</v>
      </c>
    </row>
    <row r="27" spans="1:5" x14ac:dyDescent="0.2">
      <c r="C27" s="154"/>
      <c r="D27" s="154"/>
      <c r="E27" s="154"/>
    </row>
    <row r="28" spans="1:5" x14ac:dyDescent="0.2">
      <c r="A28" s="256" t="s">
        <v>442</v>
      </c>
      <c r="B28" s="256"/>
      <c r="C28" s="257"/>
      <c r="D28" s="257">
        <v>-2000</v>
      </c>
      <c r="E28" s="257">
        <f>D28</f>
        <v>-2000</v>
      </c>
    </row>
    <row r="29" spans="1:5" x14ac:dyDescent="0.2">
      <c r="C29" s="154"/>
      <c r="D29" s="154"/>
      <c r="E29" s="154"/>
    </row>
    <row r="30" spans="1:5" ht="15.75" thickBot="1" x14ac:dyDescent="0.3">
      <c r="A30" s="266" t="s">
        <v>440</v>
      </c>
      <c r="B30" s="266"/>
      <c r="C30" s="267">
        <f>C15+C24+C26+C28</f>
        <v>34596</v>
      </c>
      <c r="D30" s="267">
        <f>D15+D24+D26+D28</f>
        <v>-18895.650000000001</v>
      </c>
      <c r="E30" s="267">
        <f>C30+D30</f>
        <v>15700.349999999999</v>
      </c>
    </row>
    <row r="31" spans="1:5" x14ac:dyDescent="0.2">
      <c r="C31" s="154"/>
      <c r="D31" s="154"/>
      <c r="E31" s="154"/>
    </row>
    <row r="32" spans="1:5" ht="15.75" thickBot="1" x14ac:dyDescent="0.3">
      <c r="A32" s="268" t="s">
        <v>443</v>
      </c>
      <c r="B32" s="268"/>
      <c r="C32" s="268"/>
      <c r="D32" s="268"/>
      <c r="E32" s="269">
        <f>E12+E30</f>
        <v>37268.36</v>
      </c>
    </row>
    <row r="34" spans="1:5" x14ac:dyDescent="0.2">
      <c r="E34" s="154"/>
    </row>
    <row r="35" spans="1:5" x14ac:dyDescent="0.2">
      <c r="A35" s="270" t="s">
        <v>447</v>
      </c>
    </row>
    <row r="36" spans="1:5" x14ac:dyDescent="0.2">
      <c r="A36" s="270" t="s">
        <v>445</v>
      </c>
      <c r="E36" s="154"/>
    </row>
    <row r="37" spans="1:5" x14ac:dyDescent="0.2">
      <c r="A37" s="270" t="s">
        <v>446</v>
      </c>
    </row>
  </sheetData>
  <pageMargins left="0.70866141732283472" right="0.70866141732283472" top="0.74803149606299213" bottom="0.74803149606299213" header="0.31496062992125984" footer="0.31496062992125984"/>
  <pageSetup scale="96" orientation="landscape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G47"/>
  <sheetViews>
    <sheetView topLeftCell="A13" workbookViewId="0">
      <selection activeCell="E15" sqref="E15:E26"/>
    </sheetView>
  </sheetViews>
  <sheetFormatPr defaultRowHeight="14.25" x14ac:dyDescent="0.2"/>
  <cols>
    <col min="1" max="1" width="41" style="152" customWidth="1"/>
    <col min="2" max="2" width="23.85546875" style="152" customWidth="1"/>
    <col min="3" max="3" width="13.140625" style="152" customWidth="1"/>
    <col min="4" max="5" width="15.85546875" style="152" customWidth="1"/>
    <col min="6" max="6" width="14.5703125" style="250" customWidth="1"/>
    <col min="7" max="7" width="14.7109375" style="152" customWidth="1"/>
    <col min="8" max="8" width="13.7109375" style="152" customWidth="1"/>
    <col min="9" max="9" width="14" style="152" customWidth="1"/>
    <col min="10" max="16384" width="9.140625" style="152"/>
  </cols>
  <sheetData>
    <row r="3" spans="1:6" ht="15.75" x14ac:dyDescent="0.25">
      <c r="A3" s="175" t="s">
        <v>478</v>
      </c>
      <c r="B3" s="158"/>
      <c r="C3" s="158"/>
      <c r="D3" s="158"/>
      <c r="E3" s="158"/>
      <c r="F3" s="300"/>
    </row>
    <row r="6" spans="1:6" ht="18" x14ac:dyDescent="0.25">
      <c r="A6" s="260" t="s">
        <v>444</v>
      </c>
      <c r="B6" s="260"/>
      <c r="C6" s="261" t="s">
        <v>427</v>
      </c>
      <c r="D6" s="261" t="s">
        <v>428</v>
      </c>
      <c r="E6" s="262" t="s">
        <v>439</v>
      </c>
    </row>
    <row r="8" spans="1:6" x14ac:dyDescent="0.2">
      <c r="A8" s="258" t="s">
        <v>441</v>
      </c>
      <c r="B8" s="258"/>
      <c r="C8" s="259"/>
      <c r="D8" s="259"/>
      <c r="E8" s="259">
        <f>37815.23-547.56</f>
        <v>37267.670000000006</v>
      </c>
    </row>
    <row r="9" spans="1:6" x14ac:dyDescent="0.2">
      <c r="A9" s="152" t="s">
        <v>69</v>
      </c>
      <c r="C9" s="154"/>
      <c r="D9" s="154"/>
      <c r="E9" s="154">
        <v>547.55999999999995</v>
      </c>
    </row>
    <row r="10" spans="1:6" x14ac:dyDescent="0.2">
      <c r="A10" s="152" t="s">
        <v>479</v>
      </c>
      <c r="C10" s="154"/>
      <c r="D10" s="154"/>
      <c r="E10" s="154">
        <f>-9000-1800</f>
        <v>-10800</v>
      </c>
    </row>
    <row r="11" spans="1:6" x14ac:dyDescent="0.2">
      <c r="C11" s="154"/>
      <c r="D11" s="154"/>
      <c r="E11" s="154"/>
    </row>
    <row r="12" spans="1:6" ht="15" x14ac:dyDescent="0.25">
      <c r="A12" s="264" t="s">
        <v>425</v>
      </c>
      <c r="B12" s="264"/>
      <c r="C12" s="265"/>
      <c r="D12" s="265"/>
      <c r="E12" s="265">
        <f>E8+E9+E10</f>
        <v>27015.230000000003</v>
      </c>
    </row>
    <row r="13" spans="1:6" x14ac:dyDescent="0.2">
      <c r="C13" s="154"/>
      <c r="D13" s="154"/>
      <c r="E13" s="154"/>
    </row>
    <row r="14" spans="1:6" x14ac:dyDescent="0.2">
      <c r="E14" s="154"/>
    </row>
    <row r="15" spans="1:6" x14ac:dyDescent="0.2">
      <c r="A15" s="256" t="s">
        <v>426</v>
      </c>
      <c r="B15" s="256"/>
      <c r="C15" s="257">
        <v>7000</v>
      </c>
      <c r="D15" s="257">
        <f>-2982-315</f>
        <v>-3297</v>
      </c>
      <c r="E15" s="257">
        <f>C15+D15</f>
        <v>3703</v>
      </c>
      <c r="F15" s="250" t="s">
        <v>491</v>
      </c>
    </row>
    <row r="16" spans="1:6" x14ac:dyDescent="0.2">
      <c r="D16" s="154"/>
      <c r="E16" s="154"/>
    </row>
    <row r="17" spans="1:6" x14ac:dyDescent="0.2">
      <c r="B17" s="152" t="s">
        <v>431</v>
      </c>
      <c r="C17" s="154"/>
      <c r="D17" s="263">
        <f>-(7163+D20)</f>
        <v>-6468.2</v>
      </c>
      <c r="E17" s="154"/>
    </row>
    <row r="18" spans="1:6" x14ac:dyDescent="0.2">
      <c r="B18" s="152" t="s">
        <v>488</v>
      </c>
      <c r="C18" s="154"/>
      <c r="D18" s="263">
        <v>-1444</v>
      </c>
      <c r="E18" s="154"/>
    </row>
    <row r="19" spans="1:6" x14ac:dyDescent="0.2">
      <c r="B19" s="152" t="s">
        <v>489</v>
      </c>
      <c r="C19" s="154"/>
      <c r="D19" s="263">
        <f>-332-53.1-262-120</f>
        <v>-767.1</v>
      </c>
      <c r="E19" s="154"/>
    </row>
    <row r="20" spans="1:6" x14ac:dyDescent="0.2">
      <c r="B20" s="152" t="s">
        <v>434</v>
      </c>
      <c r="C20" s="154"/>
      <c r="D20" s="263">
        <f>-(81.6+81.6+81.6+81.6+81.6+81.6+66.24)*1.25</f>
        <v>-694.80000000000007</v>
      </c>
      <c r="E20" s="154"/>
    </row>
    <row r="21" spans="1:6" x14ac:dyDescent="0.2">
      <c r="B21" s="152" t="s">
        <v>436</v>
      </c>
      <c r="C21" s="154"/>
      <c r="D21" s="263">
        <v>-360</v>
      </c>
      <c r="E21" s="154"/>
    </row>
    <row r="22" spans="1:6" x14ac:dyDescent="0.2">
      <c r="B22" s="152" t="s">
        <v>437</v>
      </c>
      <c r="C22" s="154"/>
      <c r="D22" s="154">
        <v>-844</v>
      </c>
      <c r="E22" s="154"/>
    </row>
    <row r="23" spans="1:6" x14ac:dyDescent="0.2">
      <c r="B23" s="152" t="s">
        <v>486</v>
      </c>
      <c r="C23" s="154"/>
      <c r="D23" s="154">
        <f>-160-81</f>
        <v>-241</v>
      </c>
      <c r="E23" s="154"/>
      <c r="F23" s="250" t="s">
        <v>492</v>
      </c>
    </row>
    <row r="24" spans="1:6" x14ac:dyDescent="0.2">
      <c r="A24" s="256" t="s">
        <v>430</v>
      </c>
      <c r="B24" s="256"/>
      <c r="C24" s="257">
        <f>29490+2179+2542-C15-C28+727</f>
        <v>19938</v>
      </c>
      <c r="D24" s="257">
        <f>SUM(D17:D23)</f>
        <v>-10819.099999999999</v>
      </c>
      <c r="E24" s="257">
        <f>C24+D24</f>
        <v>9118.9000000000015</v>
      </c>
    </row>
    <row r="25" spans="1:6" x14ac:dyDescent="0.2">
      <c r="C25" s="154"/>
      <c r="D25" s="154"/>
      <c r="E25" s="154"/>
    </row>
    <row r="26" spans="1:6" x14ac:dyDescent="0.2">
      <c r="A26" s="256" t="s">
        <v>485</v>
      </c>
      <c r="B26" s="256"/>
      <c r="C26" s="257"/>
      <c r="D26" s="257">
        <v>-8000</v>
      </c>
      <c r="E26" s="257">
        <f>C26+D26</f>
        <v>-8000</v>
      </c>
    </row>
    <row r="27" spans="1:6" x14ac:dyDescent="0.2">
      <c r="C27" s="154"/>
      <c r="D27" s="154"/>
      <c r="E27" s="154"/>
    </row>
    <row r="28" spans="1:6" x14ac:dyDescent="0.2">
      <c r="A28" s="256" t="s">
        <v>487</v>
      </c>
      <c r="B28" s="256"/>
      <c r="C28" s="257">
        <f>8000</f>
        <v>8000</v>
      </c>
      <c r="D28" s="257">
        <f>-3274</f>
        <v>-3274</v>
      </c>
      <c r="E28" s="257">
        <f>C28+D28</f>
        <v>4726</v>
      </c>
    </row>
    <row r="29" spans="1:6" x14ac:dyDescent="0.2">
      <c r="C29" s="154"/>
      <c r="D29" s="154"/>
      <c r="E29" s="154"/>
    </row>
    <row r="30" spans="1:6" x14ac:dyDescent="0.2">
      <c r="A30" s="256" t="s">
        <v>484</v>
      </c>
      <c r="B30" s="256"/>
      <c r="C30" s="257"/>
      <c r="D30" s="257">
        <v>-500</v>
      </c>
      <c r="E30" s="257">
        <f>C30+D30</f>
        <v>-500</v>
      </c>
    </row>
    <row r="31" spans="1:6" x14ac:dyDescent="0.2">
      <c r="C31" s="154"/>
      <c r="D31" s="154"/>
      <c r="E31" s="154"/>
    </row>
    <row r="32" spans="1:6" x14ac:dyDescent="0.2">
      <c r="A32" s="256" t="s">
        <v>506</v>
      </c>
      <c r="B32" s="256"/>
      <c r="C32" s="257">
        <v>1920</v>
      </c>
      <c r="D32" s="257">
        <v>0</v>
      </c>
      <c r="E32" s="257">
        <f>C32+D32</f>
        <v>1920</v>
      </c>
    </row>
    <row r="33" spans="1:7" x14ac:dyDescent="0.2">
      <c r="C33" s="154"/>
      <c r="D33" s="154"/>
      <c r="E33" s="154"/>
    </row>
    <row r="34" spans="1:7" ht="15.75" thickBot="1" x14ac:dyDescent="0.3">
      <c r="A34" s="266" t="s">
        <v>440</v>
      </c>
      <c r="B34" s="266"/>
      <c r="C34" s="267">
        <f>C15+C24+C28+C30+C32</f>
        <v>36858</v>
      </c>
      <c r="D34" s="267">
        <f>D15+D24+D28+D30+D26+D32</f>
        <v>-25890.1</v>
      </c>
      <c r="E34" s="299">
        <f>C34+D34</f>
        <v>10967.900000000001</v>
      </c>
    </row>
    <row r="35" spans="1:7" x14ac:dyDescent="0.2">
      <c r="C35" s="154"/>
      <c r="D35" s="154"/>
      <c r="E35" s="154"/>
    </row>
    <row r="36" spans="1:7" ht="15.75" thickBot="1" x14ac:dyDescent="0.3">
      <c r="A36" s="268" t="s">
        <v>480</v>
      </c>
      <c r="B36" s="268"/>
      <c r="C36" s="268"/>
      <c r="D36" s="268"/>
      <c r="E36" s="269">
        <f>E12+E34</f>
        <v>37983.130000000005</v>
      </c>
      <c r="F36" s="301"/>
      <c r="G36" s="154"/>
    </row>
    <row r="38" spans="1:7" x14ac:dyDescent="0.2">
      <c r="E38" s="154"/>
    </row>
    <row r="39" spans="1:7" x14ac:dyDescent="0.2">
      <c r="A39" s="270" t="s">
        <v>483</v>
      </c>
    </row>
    <row r="40" spans="1:7" x14ac:dyDescent="0.2">
      <c r="A40" s="270" t="s">
        <v>482</v>
      </c>
    </row>
    <row r="41" spans="1:7" x14ac:dyDescent="0.2">
      <c r="A41" s="270" t="s">
        <v>481</v>
      </c>
    </row>
    <row r="43" spans="1:7" x14ac:dyDescent="0.2">
      <c r="A43" s="270" t="s">
        <v>490</v>
      </c>
    </row>
    <row r="44" spans="1:7" x14ac:dyDescent="0.2">
      <c r="A44" s="270" t="s">
        <v>445</v>
      </c>
    </row>
    <row r="45" spans="1:7" x14ac:dyDescent="0.2">
      <c r="A45" s="270" t="s">
        <v>446</v>
      </c>
    </row>
    <row r="47" spans="1:7" x14ac:dyDescent="0.2">
      <c r="A47" s="152" t="s">
        <v>507</v>
      </c>
    </row>
  </sheetData>
  <pageMargins left="0.70866141732283472" right="0.70866141732283472" top="0.74803149606299213" bottom="0.74803149606299213" header="0.31496062992125984" footer="0.31496062992125984"/>
  <pageSetup scale="76" orientation="landscape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G46"/>
  <sheetViews>
    <sheetView topLeftCell="A7" workbookViewId="0">
      <selection activeCell="E27" sqref="E27"/>
    </sheetView>
  </sheetViews>
  <sheetFormatPr defaultRowHeight="14.25" x14ac:dyDescent="0.2"/>
  <cols>
    <col min="1" max="1" width="41" style="152" customWidth="1"/>
    <col min="2" max="2" width="23.85546875" style="152" customWidth="1"/>
    <col min="3" max="3" width="13.140625" style="152" customWidth="1"/>
    <col min="4" max="5" width="15.85546875" style="152" customWidth="1"/>
    <col min="6" max="6" width="14.5703125" style="250" customWidth="1"/>
    <col min="7" max="7" width="14.7109375" style="152" customWidth="1"/>
    <col min="8" max="8" width="13.7109375" style="152" customWidth="1"/>
    <col min="9" max="9" width="14" style="152" customWidth="1"/>
    <col min="10" max="16384" width="9.140625" style="152"/>
  </cols>
  <sheetData>
    <row r="3" spans="1:6" ht="15.75" x14ac:dyDescent="0.25">
      <c r="A3" s="175" t="s">
        <v>617</v>
      </c>
      <c r="B3" s="158" t="s">
        <v>618</v>
      </c>
      <c r="C3" s="158"/>
      <c r="D3" s="158"/>
      <c r="E3" s="158"/>
      <c r="F3" s="300"/>
    </row>
    <row r="6" spans="1:6" ht="18" x14ac:dyDescent="0.25">
      <c r="A6" s="260" t="s">
        <v>444</v>
      </c>
      <c r="B6" s="260"/>
      <c r="C6" s="261" t="s">
        <v>427</v>
      </c>
      <c r="D6" s="261" t="s">
        <v>428</v>
      </c>
      <c r="E6" s="262" t="s">
        <v>439</v>
      </c>
    </row>
    <row r="8" spans="1:6" x14ac:dyDescent="0.2">
      <c r="A8" s="258" t="s">
        <v>619</v>
      </c>
      <c r="B8" s="258"/>
      <c r="C8" s="259"/>
      <c r="D8" s="259"/>
      <c r="E8" s="259">
        <v>31557.23</v>
      </c>
    </row>
    <row r="9" spans="1:6" x14ac:dyDescent="0.2">
      <c r="A9" s="152" t="s">
        <v>69</v>
      </c>
      <c r="C9" s="154"/>
      <c r="D9" s="154"/>
      <c r="E9" s="154">
        <v>322.11</v>
      </c>
    </row>
    <row r="10" spans="1:6" x14ac:dyDescent="0.2">
      <c r="A10" s="152" t="s">
        <v>621</v>
      </c>
      <c r="C10" s="154"/>
      <c r="D10" s="154"/>
      <c r="E10" s="154">
        <v>-2283</v>
      </c>
    </row>
    <row r="11" spans="1:6" x14ac:dyDescent="0.2">
      <c r="C11" s="154"/>
      <c r="D11" s="154"/>
      <c r="E11" s="154"/>
    </row>
    <row r="12" spans="1:6" ht="15" x14ac:dyDescent="0.25">
      <c r="A12" s="264" t="s">
        <v>425</v>
      </c>
      <c r="B12" s="264"/>
      <c r="C12" s="265"/>
      <c r="D12" s="265"/>
      <c r="E12" s="265">
        <f>E8+E9+E10</f>
        <v>29596.34</v>
      </c>
    </row>
    <row r="13" spans="1:6" x14ac:dyDescent="0.2">
      <c r="C13" s="154"/>
      <c r="D13" s="154"/>
      <c r="E13" s="154"/>
    </row>
    <row r="14" spans="1:6" x14ac:dyDescent="0.2">
      <c r="E14" s="154"/>
    </row>
    <row r="15" spans="1:6" x14ac:dyDescent="0.2">
      <c r="A15" s="256" t="s">
        <v>624</v>
      </c>
      <c r="B15" s="256"/>
      <c r="C15" s="257"/>
      <c r="D15" s="257"/>
      <c r="E15" s="257"/>
    </row>
    <row r="16" spans="1:6" x14ac:dyDescent="0.2">
      <c r="D16" s="154"/>
      <c r="E16" s="154"/>
    </row>
    <row r="17" spans="1:7" x14ac:dyDescent="0.2">
      <c r="B17" s="187" t="s">
        <v>623</v>
      </c>
      <c r="C17" s="187"/>
      <c r="D17" s="263">
        <f>-2755-273</f>
        <v>-3028</v>
      </c>
      <c r="E17" s="154"/>
      <c r="F17" s="250" t="s">
        <v>631</v>
      </c>
    </row>
    <row r="18" spans="1:7" x14ac:dyDescent="0.2">
      <c r="B18" s="187" t="s">
        <v>431</v>
      </c>
      <c r="C18" s="263"/>
      <c r="D18" s="263">
        <f>-2255.75</f>
        <v>-2255.75</v>
      </c>
      <c r="E18" s="154"/>
    </row>
    <row r="19" spans="1:7" x14ac:dyDescent="0.2">
      <c r="B19" s="187" t="s">
        <v>488</v>
      </c>
      <c r="C19" s="263"/>
      <c r="D19" s="263">
        <f>-1766-199</f>
        <v>-1965</v>
      </c>
      <c r="E19" s="154"/>
    </row>
    <row r="20" spans="1:7" x14ac:dyDescent="0.2">
      <c r="B20" s="187" t="s">
        <v>433</v>
      </c>
      <c r="C20" s="263"/>
      <c r="D20" s="263">
        <f>-975-48.5</f>
        <v>-1023.5</v>
      </c>
      <c r="E20" s="154"/>
    </row>
    <row r="21" spans="1:7" x14ac:dyDescent="0.2">
      <c r="B21" s="187" t="s">
        <v>434</v>
      </c>
      <c r="C21" s="263"/>
      <c r="D21" s="263">
        <f>-(83.6+83.6+83.6+83.6+83.6+83.6+66.24)</f>
        <v>-567.84</v>
      </c>
      <c r="E21" s="154"/>
      <c r="G21" s="154"/>
    </row>
    <row r="22" spans="1:7" x14ac:dyDescent="0.2">
      <c r="B22" s="187" t="s">
        <v>622</v>
      </c>
      <c r="C22" s="263"/>
      <c r="D22" s="263">
        <f>-200-500-500</f>
        <v>-1200</v>
      </c>
      <c r="E22" s="154"/>
    </row>
    <row r="23" spans="1:7" x14ac:dyDescent="0.2">
      <c r="C23" s="154"/>
      <c r="D23" s="154"/>
      <c r="E23" s="154"/>
    </row>
    <row r="24" spans="1:7" x14ac:dyDescent="0.2">
      <c r="C24" s="154"/>
      <c r="D24" s="154"/>
      <c r="E24" s="154"/>
    </row>
    <row r="25" spans="1:7" x14ac:dyDescent="0.2">
      <c r="A25" s="256" t="s">
        <v>625</v>
      </c>
      <c r="B25" s="256"/>
      <c r="C25" s="257">
        <f>10900+1290+2755+1200-36</f>
        <v>16109</v>
      </c>
      <c r="D25" s="257">
        <f>SUM(D17:D24)</f>
        <v>-10040.09</v>
      </c>
      <c r="E25" s="257">
        <f>C25+D25</f>
        <v>6068.91</v>
      </c>
    </row>
    <row r="26" spans="1:7" x14ac:dyDescent="0.2">
      <c r="C26" s="154"/>
      <c r="D26" s="154"/>
      <c r="E26" s="154"/>
    </row>
    <row r="27" spans="1:7" x14ac:dyDescent="0.2">
      <c r="A27" s="256" t="s">
        <v>435</v>
      </c>
      <c r="B27" s="256"/>
      <c r="C27" s="257">
        <v>9080</v>
      </c>
      <c r="D27" s="257">
        <f>-3200-265</f>
        <v>-3465</v>
      </c>
      <c r="E27" s="257">
        <f>C27+D27</f>
        <v>5615</v>
      </c>
      <c r="F27" s="250" t="s">
        <v>632</v>
      </c>
    </row>
    <row r="28" spans="1:7" x14ac:dyDescent="0.2">
      <c r="C28" s="154"/>
      <c r="D28" s="154"/>
      <c r="E28" s="154"/>
      <c r="F28" s="250" t="s">
        <v>633</v>
      </c>
      <c r="G28" s="154"/>
    </row>
    <row r="29" spans="1:7" ht="15.75" thickBot="1" x14ac:dyDescent="0.3">
      <c r="A29" s="266" t="s">
        <v>440</v>
      </c>
      <c r="B29" s="266"/>
      <c r="C29" s="267">
        <f>C15+C25+C27</f>
        <v>25189</v>
      </c>
      <c r="D29" s="267">
        <f t="shared" ref="D29:E29" si="0">D15+D25+D27</f>
        <v>-13505.09</v>
      </c>
      <c r="E29" s="267">
        <f t="shared" si="0"/>
        <v>11683.91</v>
      </c>
      <c r="F29" s="369">
        <f>E29+500</f>
        <v>12183.91</v>
      </c>
      <c r="G29" s="158" t="s">
        <v>634</v>
      </c>
    </row>
    <row r="30" spans="1:7" x14ac:dyDescent="0.2">
      <c r="C30" s="154"/>
      <c r="D30" s="154"/>
      <c r="E30" s="154"/>
    </row>
    <row r="31" spans="1:7" ht="15.75" thickBot="1" x14ac:dyDescent="0.3">
      <c r="A31" s="268" t="s">
        <v>620</v>
      </c>
      <c r="B31" s="268"/>
      <c r="C31" s="268"/>
      <c r="D31" s="268"/>
      <c r="E31" s="269">
        <f>E12+E29</f>
        <v>41280.25</v>
      </c>
      <c r="F31" s="301"/>
      <c r="G31" s="154"/>
    </row>
    <row r="33" spans="1:5" x14ac:dyDescent="0.2">
      <c r="A33" s="270" t="s">
        <v>627</v>
      </c>
      <c r="B33" s="270" t="s">
        <v>628</v>
      </c>
      <c r="E33" s="154"/>
    </row>
    <row r="34" spans="1:5" x14ac:dyDescent="0.2">
      <c r="A34" s="270" t="s">
        <v>626</v>
      </c>
    </row>
    <row r="35" spans="1:5" x14ac:dyDescent="0.2">
      <c r="A35" s="270" t="s">
        <v>629</v>
      </c>
    </row>
    <row r="36" spans="1:5" x14ac:dyDescent="0.2">
      <c r="A36" s="270" t="s">
        <v>630</v>
      </c>
    </row>
    <row r="38" spans="1:5" x14ac:dyDescent="0.2">
      <c r="A38" s="270" t="s">
        <v>483</v>
      </c>
    </row>
    <row r="39" spans="1:5" x14ac:dyDescent="0.2">
      <c r="A39" s="270" t="s">
        <v>482</v>
      </c>
    </row>
    <row r="40" spans="1:5" x14ac:dyDescent="0.2">
      <c r="A40" s="270" t="s">
        <v>481</v>
      </c>
    </row>
    <row r="42" spans="1:5" x14ac:dyDescent="0.2">
      <c r="A42" s="270" t="s">
        <v>490</v>
      </c>
    </row>
    <row r="43" spans="1:5" x14ac:dyDescent="0.2">
      <c r="A43" s="270" t="s">
        <v>445</v>
      </c>
    </row>
    <row r="44" spans="1:5" x14ac:dyDescent="0.2">
      <c r="A44" s="270" t="s">
        <v>446</v>
      </c>
    </row>
    <row r="46" spans="1:5" x14ac:dyDescent="0.2">
      <c r="A46" s="152" t="s">
        <v>507</v>
      </c>
    </row>
  </sheetData>
  <pageMargins left="0.70866141732283472" right="0.70866141732283472" top="0.74803149606299213" bottom="0.74803149606299213" header="0.31496062992125984" footer="0.31496062992125984"/>
  <pageSetup scale="78" orientation="landscape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1"/>
  <sheetViews>
    <sheetView workbookViewId="0">
      <selection activeCell="E15" sqref="E15"/>
    </sheetView>
  </sheetViews>
  <sheetFormatPr defaultRowHeight="15" x14ac:dyDescent="0.25"/>
  <cols>
    <col min="1" max="1" width="16.28515625" customWidth="1"/>
    <col min="2" max="2" width="30" customWidth="1"/>
    <col min="3" max="3" width="17.5703125" customWidth="1"/>
    <col min="5" max="5" width="14.85546875" customWidth="1"/>
    <col min="6" max="6" width="11.5703125" bestFit="1" customWidth="1"/>
  </cols>
  <sheetData>
    <row r="4" spans="1:3" x14ac:dyDescent="0.25">
      <c r="A4" t="s">
        <v>529</v>
      </c>
    </row>
    <row r="7" spans="1:3" x14ac:dyDescent="0.25">
      <c r="A7" s="313" t="s">
        <v>450</v>
      </c>
      <c r="B7" s="313" t="s">
        <v>451</v>
      </c>
      <c r="C7" s="313" t="s">
        <v>530</v>
      </c>
    </row>
    <row r="8" spans="1:3" x14ac:dyDescent="0.25">
      <c r="A8" s="314"/>
      <c r="B8" s="314" t="s">
        <v>441</v>
      </c>
      <c r="C8" s="318">
        <v>-8</v>
      </c>
    </row>
    <row r="9" spans="1:3" x14ac:dyDescent="0.25">
      <c r="A9" s="315">
        <v>41032</v>
      </c>
      <c r="B9" s="314" t="s">
        <v>452</v>
      </c>
      <c r="C9" s="318">
        <v>701</v>
      </c>
    </row>
    <row r="10" spans="1:3" x14ac:dyDescent="0.25">
      <c r="A10" s="315">
        <v>41043</v>
      </c>
      <c r="B10" s="314" t="s">
        <v>453</v>
      </c>
      <c r="C10" s="318">
        <v>-158</v>
      </c>
    </row>
    <row r="11" spans="1:3" x14ac:dyDescent="0.25">
      <c r="A11" s="315">
        <v>41043</v>
      </c>
      <c r="B11" s="314" t="s">
        <v>454</v>
      </c>
      <c r="C11" s="318">
        <v>-543</v>
      </c>
    </row>
    <row r="12" spans="1:3" x14ac:dyDescent="0.25">
      <c r="A12" s="315">
        <v>41144</v>
      </c>
      <c r="B12" s="314" t="s">
        <v>455</v>
      </c>
      <c r="C12" s="318" t="s">
        <v>531</v>
      </c>
    </row>
    <row r="13" spans="1:3" x14ac:dyDescent="0.25">
      <c r="A13" s="315">
        <v>41153</v>
      </c>
      <c r="B13" s="314" t="s">
        <v>456</v>
      </c>
      <c r="C13" s="318">
        <v>2</v>
      </c>
    </row>
    <row r="14" spans="1:3" x14ac:dyDescent="0.25">
      <c r="A14" s="315">
        <v>41164</v>
      </c>
      <c r="B14" s="314" t="s">
        <v>457</v>
      </c>
      <c r="C14" s="318" t="s">
        <v>532</v>
      </c>
    </row>
    <row r="15" spans="1:3" x14ac:dyDescent="0.25">
      <c r="A15" s="315">
        <v>41164</v>
      </c>
      <c r="B15" s="314" t="s">
        <v>458</v>
      </c>
      <c r="C15" s="318" t="s">
        <v>533</v>
      </c>
    </row>
    <row r="16" spans="1:3" x14ac:dyDescent="0.25">
      <c r="A16" s="315">
        <v>41188</v>
      </c>
      <c r="B16" s="314" t="s">
        <v>456</v>
      </c>
      <c r="C16" s="318">
        <v>1</v>
      </c>
    </row>
    <row r="17" spans="1:6" x14ac:dyDescent="0.25">
      <c r="A17" s="315">
        <v>41264</v>
      </c>
      <c r="B17" s="314" t="s">
        <v>459</v>
      </c>
      <c r="C17" s="318" t="s">
        <v>534</v>
      </c>
    </row>
    <row r="18" spans="1:6" x14ac:dyDescent="0.25">
      <c r="A18" s="315">
        <v>41279</v>
      </c>
      <c r="B18" s="314" t="s">
        <v>456</v>
      </c>
      <c r="C18" s="318">
        <v>2</v>
      </c>
    </row>
    <row r="19" spans="1:6" x14ac:dyDescent="0.25">
      <c r="A19" s="315">
        <v>41291</v>
      </c>
      <c r="B19" s="314" t="s">
        <v>460</v>
      </c>
      <c r="C19" s="318" t="s">
        <v>535</v>
      </c>
    </row>
    <row r="20" spans="1:6" x14ac:dyDescent="0.25">
      <c r="A20" s="315">
        <v>41291</v>
      </c>
      <c r="B20" s="314" t="s">
        <v>461</v>
      </c>
      <c r="C20" s="318" t="s">
        <v>536</v>
      </c>
    </row>
    <row r="21" spans="1:6" x14ac:dyDescent="0.25">
      <c r="A21" s="315">
        <v>41307</v>
      </c>
      <c r="B21" s="314" t="s">
        <v>456</v>
      </c>
      <c r="C21" s="318">
        <v>1</v>
      </c>
    </row>
    <row r="22" spans="1:6" x14ac:dyDescent="0.25">
      <c r="A22" s="315">
        <v>41505</v>
      </c>
      <c r="B22" s="314" t="s">
        <v>537</v>
      </c>
      <c r="C22" s="318" t="s">
        <v>538</v>
      </c>
    </row>
    <row r="23" spans="1:6" x14ac:dyDescent="0.25">
      <c r="A23" s="315">
        <v>41505</v>
      </c>
      <c r="B23" s="314" t="s">
        <v>539</v>
      </c>
      <c r="C23" s="318" t="s">
        <v>540</v>
      </c>
    </row>
    <row r="24" spans="1:6" x14ac:dyDescent="0.25">
      <c r="A24" s="316">
        <v>41506</v>
      </c>
      <c r="B24" s="317" t="s">
        <v>541</v>
      </c>
      <c r="C24" s="319" t="s">
        <v>542</v>
      </c>
      <c r="E24" s="174"/>
      <c r="F24" s="174"/>
    </row>
    <row r="25" spans="1:6" x14ac:dyDescent="0.25">
      <c r="A25" s="315">
        <v>41561</v>
      </c>
      <c r="B25" s="314" t="s">
        <v>543</v>
      </c>
      <c r="C25" s="318">
        <v>-822</v>
      </c>
    </row>
    <row r="26" spans="1:6" x14ac:dyDescent="0.25">
      <c r="A26" s="315">
        <v>41561</v>
      </c>
      <c r="B26" s="314" t="s">
        <v>544</v>
      </c>
      <c r="C26" s="318" t="s">
        <v>545</v>
      </c>
    </row>
    <row r="27" spans="1:6" x14ac:dyDescent="0.25">
      <c r="A27" s="316">
        <v>41562</v>
      </c>
      <c r="B27" s="317" t="s">
        <v>546</v>
      </c>
      <c r="C27" s="319" t="s">
        <v>547</v>
      </c>
    </row>
    <row r="28" spans="1:6" x14ac:dyDescent="0.25">
      <c r="A28" s="316">
        <v>41585</v>
      </c>
      <c r="B28" s="317" t="s">
        <v>548</v>
      </c>
      <c r="C28" s="319" t="s">
        <v>549</v>
      </c>
    </row>
    <row r="29" spans="1:6" x14ac:dyDescent="0.25">
      <c r="A29" s="315">
        <v>41590</v>
      </c>
      <c r="B29" s="314" t="s">
        <v>550</v>
      </c>
      <c r="C29" s="318">
        <v>-693</v>
      </c>
    </row>
    <row r="30" spans="1:6" x14ac:dyDescent="0.25">
      <c r="A30" s="315">
        <v>41590</v>
      </c>
      <c r="B30" s="314" t="s">
        <v>551</v>
      </c>
      <c r="C30" s="318" t="s">
        <v>552</v>
      </c>
    </row>
    <row r="31" spans="1:6" x14ac:dyDescent="0.25">
      <c r="A31" s="314"/>
      <c r="B31" s="314" t="s">
        <v>553</v>
      </c>
      <c r="C31" s="318">
        <v>0</v>
      </c>
    </row>
  </sheetData>
  <hyperlinks>
    <hyperlink ref="A7" r:id="rId1" tooltip="Länk: Sortera pÃ¥ transaktionsdag" display="https://ssop1.skatteverket.se/sk/ska/sorteraBokfTrans.do?valdSortnyckel=datTrans"/>
    <hyperlink ref="B7" r:id="rId2" tooltip="Länk: Sortera pÃ¥ specifikation" display="https://ssop1.skatteverket.se/sk/ska/sorteraBokfTrans.do?valdSortnyckel=transradText"/>
    <hyperlink ref="C7" r:id="rId3" tooltip="Länk: Sortera pÃ¥ belopp" display="https://ssop1.skatteverket.se/sk/ska/sorteraBokfTrans.do?valdSortnyckel=belSkm"/>
  </hyperlinks>
  <pageMargins left="0.7" right="0.7" top="0.75" bottom="0.75" header="0.3" footer="0.3"/>
  <pageSetup orientation="portrait" horizontalDpi="4294967293" verticalDpi="4294967293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26</vt:i4>
      </vt:variant>
      <vt:variant>
        <vt:lpstr>Namngivna områden</vt:lpstr>
      </vt:variant>
      <vt:variant>
        <vt:i4>4</vt:i4>
      </vt:variant>
    </vt:vector>
  </HeadingPairs>
  <TitlesOfParts>
    <vt:vector size="30" baseType="lpstr">
      <vt:lpstr>Budget_Utf 2014-15</vt:lpstr>
      <vt:lpstr>Bokföring</vt:lpstr>
      <vt:lpstr>Ers Stig 1-13</vt:lpstr>
      <vt:lpstr>Ers Stig 2-13</vt:lpstr>
      <vt:lpstr>Ers Stig 3-13</vt:lpstr>
      <vt:lpstr>Ers Stig 1-14</vt:lpstr>
      <vt:lpstr>Ers Stig 2-14</vt:lpstr>
      <vt:lpstr>Ers Stig 3-14</vt:lpstr>
      <vt:lpstr>Ers Stig 4-14</vt:lpstr>
      <vt:lpstr>Ers Stig 1-15</vt:lpstr>
      <vt:lpstr>Ers Björn 1-14</vt:lpstr>
      <vt:lpstr>Ers Björn 2-14</vt:lpstr>
      <vt:lpstr>Skatter 2014-2015</vt:lpstr>
      <vt:lpstr>Skatter 2015</vt:lpstr>
      <vt:lpstr>Pivot-medlemsavg</vt:lpstr>
      <vt:lpstr>Medlemsavgifter</vt:lpstr>
      <vt:lpstr>Arvoden 2012</vt:lpstr>
      <vt:lpstr>Arvoden2013</vt:lpstr>
      <vt:lpstr>Arvoden2014</vt:lpstr>
      <vt:lpstr>Arvoden2015</vt:lpstr>
      <vt:lpstr>Arvoden2015-alt</vt:lpstr>
      <vt:lpstr>midsommar2011</vt:lpstr>
      <vt:lpstr>midsommar2012</vt:lpstr>
      <vt:lpstr>midsommar2013</vt:lpstr>
      <vt:lpstr>midsommar 2014</vt:lpstr>
      <vt:lpstr>Skattekonto</vt:lpstr>
      <vt:lpstr>'Arvoden 2012'!Utskriftsområde</vt:lpstr>
      <vt:lpstr>'Budget_Utf 2014-15'!Utskriftsområde</vt:lpstr>
      <vt:lpstr>Bokföring!Utskriftsrubriker</vt:lpstr>
      <vt:lpstr>Medlemsavgifter!Utskriftsrubriker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Kajsa</dc:creator>
  <cp:lastModifiedBy>Curt</cp:lastModifiedBy>
  <cp:lastPrinted>2015-05-03T17:17:16Z</cp:lastPrinted>
  <dcterms:created xsi:type="dcterms:W3CDTF">2011-07-07T18:59:46Z</dcterms:created>
  <dcterms:modified xsi:type="dcterms:W3CDTF">2015-05-04T15:21:00Z</dcterms:modified>
</cp:coreProperties>
</file>